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535" yWindow="90" windowWidth="14805" windowHeight="7230" tabRatio="269"/>
  </bookViews>
  <sheets>
    <sheet name="PRESUP-SOT-3P" sheetId="4" r:id="rId1"/>
    <sheet name="APUS" sheetId="7" r:id="rId2"/>
    <sheet name="CANTIDADES" sheetId="8" r:id="rId3"/>
  </sheets>
  <definedNames>
    <definedName name="_xlnm.Print_Area" localSheetId="1">APUS!$A$1:$J$292</definedName>
    <definedName name="_xlnm.Print_Area" localSheetId="2">CANTIDADES!$A$1:$J$167</definedName>
    <definedName name="_xlnm.Print_Area" localSheetId="0">'PRESUP-SOT-3P'!$A$1:$F$66</definedName>
  </definedNames>
  <calcPr calcId="144525"/>
</workbook>
</file>

<file path=xl/calcChain.xml><?xml version="1.0" encoding="utf-8"?>
<calcChain xmlns="http://schemas.openxmlformats.org/spreadsheetml/2006/main">
  <c r="F27" i="7" l="1"/>
  <c r="D94" i="8" l="1"/>
  <c r="D90" i="8"/>
  <c r="D89" i="8"/>
  <c r="D29" i="8"/>
  <c r="D27" i="8"/>
  <c r="B77" i="8"/>
  <c r="D69" i="8"/>
  <c r="D62" i="8"/>
  <c r="D61" i="8"/>
  <c r="D60" i="8"/>
  <c r="D59" i="8" s="1"/>
  <c r="D58" i="8"/>
  <c r="G203" i="7" l="1"/>
  <c r="G167" i="7"/>
  <c r="G185" i="7"/>
  <c r="B177" i="7"/>
  <c r="H192" i="7"/>
  <c r="H193" i="7" s="1"/>
  <c r="G191" i="7"/>
  <c r="G190" i="7"/>
  <c r="G189" i="7"/>
  <c r="G188" i="7"/>
  <c r="G187" i="7"/>
  <c r="G186" i="7"/>
  <c r="F184" i="7"/>
  <c r="F183" i="7"/>
  <c r="F182" i="7"/>
  <c r="F181" i="7"/>
  <c r="F180" i="7"/>
  <c r="F179" i="7"/>
  <c r="F178" i="7"/>
  <c r="H174" i="7"/>
  <c r="H175" i="7" s="1"/>
  <c r="G173" i="7"/>
  <c r="G172" i="7"/>
  <c r="G171" i="7"/>
  <c r="G170" i="7"/>
  <c r="G169" i="7"/>
  <c r="G168" i="7"/>
  <c r="F166" i="7"/>
  <c r="F165" i="7"/>
  <c r="F164" i="7"/>
  <c r="F163" i="7"/>
  <c r="F162" i="7"/>
  <c r="F161" i="7"/>
  <c r="F160" i="7"/>
  <c r="D20" i="8"/>
  <c r="F193" i="7" l="1"/>
  <c r="G193" i="7"/>
  <c r="F175" i="7"/>
  <c r="G175" i="7"/>
  <c r="D263" i="7"/>
  <c r="D262" i="7"/>
  <c r="D261" i="7"/>
  <c r="D260" i="7"/>
  <c r="D259" i="7"/>
  <c r="D258" i="7"/>
  <c r="G265" i="7"/>
  <c r="G267" i="7"/>
  <c r="G284" i="7"/>
  <c r="G286" i="7"/>
  <c r="E193" i="7" l="1"/>
  <c r="E34" i="4" s="1"/>
  <c r="E175" i="7"/>
  <c r="E33" i="4" s="1"/>
  <c r="A276" i="7"/>
  <c r="G288" i="7"/>
  <c r="G289" i="7"/>
  <c r="B276" i="7" l="1"/>
  <c r="H291" i="7"/>
  <c r="H292" i="7" s="1"/>
  <c r="G290" i="7"/>
  <c r="G287" i="7"/>
  <c r="G285" i="7"/>
  <c r="F283" i="7"/>
  <c r="F282" i="7"/>
  <c r="F281" i="7"/>
  <c r="F280" i="7"/>
  <c r="F279" i="7"/>
  <c r="F278" i="7"/>
  <c r="F277" i="7"/>
  <c r="G292" i="7" l="1"/>
  <c r="F292" i="7"/>
  <c r="E292" i="7" l="1"/>
  <c r="E54" i="4" s="1"/>
  <c r="D40" i="8" l="1"/>
  <c r="D41" i="8"/>
  <c r="D42" i="8"/>
  <c r="D39" i="8"/>
  <c r="D38" i="8" l="1"/>
  <c r="D34" i="4"/>
  <c r="D29" i="4"/>
  <c r="D11" i="4"/>
  <c r="D162" i="8"/>
  <c r="D163" i="8"/>
  <c r="D164" i="8"/>
  <c r="D165" i="8"/>
  <c r="D166" i="8"/>
  <c r="D161" i="8"/>
  <c r="D155" i="8"/>
  <c r="D159" i="8"/>
  <c r="D149" i="8"/>
  <c r="G158" i="8"/>
  <c r="G157" i="8"/>
  <c r="E156" i="8"/>
  <c r="G156" i="8"/>
  <c r="E153" i="8"/>
  <c r="E154" i="8" s="1"/>
  <c r="D154" i="8" s="1"/>
  <c r="F152" i="8"/>
  <c r="G152" i="8"/>
  <c r="F150" i="8"/>
  <c r="G151" i="8" s="1"/>
  <c r="D151" i="8" s="1"/>
  <c r="C150" i="8"/>
  <c r="C151" i="8" s="1"/>
  <c r="C152" i="8" s="1"/>
  <c r="C153" i="8" s="1"/>
  <c r="C154" i="8" s="1"/>
  <c r="C155" i="8" s="1"/>
  <c r="C156" i="8" s="1"/>
  <c r="C157" i="8" s="1"/>
  <c r="C158" i="8" s="1"/>
  <c r="C159" i="8" s="1"/>
  <c r="C147" i="8"/>
  <c r="B147" i="8"/>
  <c r="A147" i="8"/>
  <c r="B146" i="8"/>
  <c r="A146" i="8"/>
  <c r="C3" i="8"/>
  <c r="B144" i="8"/>
  <c r="A144" i="8"/>
  <c r="D145" i="8"/>
  <c r="D144" i="8" s="1"/>
  <c r="D46" i="4" s="1"/>
  <c r="D143" i="8"/>
  <c r="D142" i="8" s="1"/>
  <c r="D45" i="4" s="1"/>
  <c r="B142" i="8"/>
  <c r="A142" i="8"/>
  <c r="D141" i="8"/>
  <c r="D140" i="8"/>
  <c r="B139" i="8"/>
  <c r="A139" i="8"/>
  <c r="D160" i="8" l="1"/>
  <c r="D28" i="8"/>
  <c r="D152" i="8"/>
  <c r="D54" i="4" s="1"/>
  <c r="F54" i="4" s="1"/>
  <c r="F55" i="4" s="1"/>
  <c r="D156" i="8"/>
  <c r="D150" i="8"/>
  <c r="D153" i="8"/>
  <c r="D139" i="8"/>
  <c r="D44" i="4" s="1"/>
  <c r="E157" i="8"/>
  <c r="D157" i="8" s="1"/>
  <c r="B138" i="8"/>
  <c r="A138" i="8"/>
  <c r="C132" i="8"/>
  <c r="C135" i="8"/>
  <c r="B135" i="8"/>
  <c r="A135" i="8"/>
  <c r="D137" i="8"/>
  <c r="D136" i="8" s="1"/>
  <c r="D135" i="8" s="1"/>
  <c r="D40" i="4" s="1"/>
  <c r="D134" i="8"/>
  <c r="D133" i="8" s="1"/>
  <c r="B132" i="8"/>
  <c r="A132" i="8"/>
  <c r="B131" i="8"/>
  <c r="A131" i="8"/>
  <c r="D130" i="8"/>
  <c r="D129" i="8"/>
  <c r="C130" i="8"/>
  <c r="C127" i="8"/>
  <c r="B127" i="8"/>
  <c r="A127" i="8"/>
  <c r="C124" i="8"/>
  <c r="B124" i="8"/>
  <c r="A124" i="8"/>
  <c r="D123" i="8"/>
  <c r="D122" i="8" s="1"/>
  <c r="D121" i="8"/>
  <c r="D120" i="8" s="1"/>
  <c r="C119" i="8"/>
  <c r="B119" i="8"/>
  <c r="A119" i="8"/>
  <c r="B118" i="8"/>
  <c r="A118" i="8"/>
  <c r="D117" i="8"/>
  <c r="B116" i="8"/>
  <c r="C115" i="8"/>
  <c r="B115" i="8"/>
  <c r="A115" i="8"/>
  <c r="D113" i="8"/>
  <c r="D114" i="8"/>
  <c r="D112" i="8"/>
  <c r="C110" i="8"/>
  <c r="B110" i="8"/>
  <c r="A110" i="8"/>
  <c r="D109" i="8"/>
  <c r="D108" i="8" s="1"/>
  <c r="D107" i="8" s="1"/>
  <c r="D27" i="4" s="1"/>
  <c r="B107" i="8"/>
  <c r="A107" i="8"/>
  <c r="D106" i="8"/>
  <c r="D105" i="8"/>
  <c r="D103" i="8"/>
  <c r="D102" i="8" s="1"/>
  <c r="D119" i="8" l="1"/>
  <c r="D33" i="4" s="1"/>
  <c r="D104" i="8"/>
  <c r="D101" i="8" s="1"/>
  <c r="D26" i="4" s="1"/>
  <c r="D128" i="8"/>
  <c r="D127" i="8" s="1"/>
  <c r="E158" i="8"/>
  <c r="D158" i="8" s="1"/>
  <c r="D148" i="8" s="1"/>
  <c r="D147" i="8" s="1"/>
  <c r="D111" i="8"/>
  <c r="D110" i="8" s="1"/>
  <c r="D28" i="4" s="1"/>
  <c r="D132" i="8"/>
  <c r="D39" i="4" s="1"/>
  <c r="C101" i="8" l="1"/>
  <c r="B101" i="8"/>
  <c r="A101" i="8"/>
  <c r="B100" i="8"/>
  <c r="A100" i="8"/>
  <c r="B97" i="8"/>
  <c r="A97" i="8"/>
  <c r="B85" i="8"/>
  <c r="D96" i="8"/>
  <c r="D95" i="8"/>
  <c r="C85" i="8"/>
  <c r="A85" i="8"/>
  <c r="D77" i="8"/>
  <c r="D76" i="8"/>
  <c r="D84" i="8"/>
  <c r="D83" i="8"/>
  <c r="D82" i="8"/>
  <c r="D81" i="8"/>
  <c r="D80" i="8"/>
  <c r="D79" i="8"/>
  <c r="C77" i="8"/>
  <c r="C74" i="8"/>
  <c r="B74" i="8"/>
  <c r="A74" i="8"/>
  <c r="D73" i="8"/>
  <c r="D72" i="8"/>
  <c r="D71" i="8"/>
  <c r="D70" i="8"/>
  <c r="D68" i="8"/>
  <c r="D67" i="8" s="1"/>
  <c r="D66" i="8"/>
  <c r="D65" i="8"/>
  <c r="D57" i="8"/>
  <c r="D56" i="8" s="1"/>
  <c r="D78" i="8" l="1"/>
  <c r="D93" i="8" s="1"/>
  <c r="D75" i="8"/>
  <c r="D64" i="8"/>
  <c r="D88" i="8" l="1"/>
  <c r="D74" i="8"/>
  <c r="D20" i="4" s="1"/>
  <c r="D50" i="8"/>
  <c r="D45" i="8"/>
  <c r="D63" i="8"/>
  <c r="D19" i="4" s="1"/>
  <c r="C66" i="8"/>
  <c r="B65" i="8"/>
  <c r="B76" i="8" s="1"/>
  <c r="C63" i="8"/>
  <c r="B63" i="8"/>
  <c r="A63" i="8"/>
  <c r="D18" i="4"/>
  <c r="C51" i="8"/>
  <c r="C52" i="8" s="1"/>
  <c r="C53" i="8" s="1"/>
  <c r="C46" i="8"/>
  <c r="C47" i="8" s="1"/>
  <c r="C48" i="8" s="1"/>
  <c r="C43" i="8"/>
  <c r="B43" i="8"/>
  <c r="A43" i="8"/>
  <c r="C40" i="8" l="1"/>
  <c r="C41" i="8" s="1"/>
  <c r="C42" i="8" s="1"/>
  <c r="D36" i="8"/>
  <c r="D35" i="8" s="1"/>
  <c r="C35" i="8"/>
  <c r="B35" i="8"/>
  <c r="A35" i="8"/>
  <c r="B30" i="8"/>
  <c r="A30" i="8"/>
  <c r="B27" i="8"/>
  <c r="A27" i="8"/>
  <c r="D13" i="4" l="1"/>
  <c r="K36" i="8"/>
  <c r="D24" i="8"/>
  <c r="D10" i="8" l="1"/>
  <c r="D26" i="8"/>
  <c r="D25" i="8" s="1"/>
  <c r="D23" i="8"/>
  <c r="B22" i="8"/>
  <c r="A22" i="8"/>
  <c r="D9" i="8"/>
  <c r="D8" i="8"/>
  <c r="D7" i="8" s="1"/>
  <c r="D87" i="8" s="1"/>
  <c r="D86" i="8" s="1"/>
  <c r="D21" i="8"/>
  <c r="D19" i="8"/>
  <c r="D18" i="8"/>
  <c r="D17" i="8"/>
  <c r="D16" i="8"/>
  <c r="D15" i="8"/>
  <c r="D14" i="8"/>
  <c r="D12" i="8"/>
  <c r="D13" i="8"/>
  <c r="C13" i="8"/>
  <c r="C14" i="8" s="1"/>
  <c r="C15" i="8" s="1"/>
  <c r="C16" i="8" s="1"/>
  <c r="C17" i="8" s="1"/>
  <c r="C18" i="8" s="1"/>
  <c r="C19" i="8" s="1"/>
  <c r="C21" i="8" s="1"/>
  <c r="B6" i="8"/>
  <c r="A6" i="8"/>
  <c r="D4" i="8"/>
  <c r="D5" i="8"/>
  <c r="H272" i="7"/>
  <c r="G268" i="7"/>
  <c r="G269" i="7"/>
  <c r="G270" i="7"/>
  <c r="G271" i="7"/>
  <c r="G266" i="7"/>
  <c r="F259" i="7"/>
  <c r="F260" i="7"/>
  <c r="F261" i="7"/>
  <c r="F262" i="7"/>
  <c r="F263" i="7"/>
  <c r="F264" i="7"/>
  <c r="F258" i="7"/>
  <c r="H253" i="7"/>
  <c r="G252" i="7"/>
  <c r="G251" i="7"/>
  <c r="F250" i="7"/>
  <c r="G245" i="7"/>
  <c r="G246" i="7"/>
  <c r="G244" i="7"/>
  <c r="F243" i="7"/>
  <c r="F242" i="7"/>
  <c r="H238" i="7"/>
  <c r="G235" i="7"/>
  <c r="G236" i="7"/>
  <c r="G237" i="7"/>
  <c r="G234" i="7"/>
  <c r="F233" i="7"/>
  <c r="F232" i="7"/>
  <c r="H227" i="7"/>
  <c r="G226" i="7"/>
  <c r="F225" i="7"/>
  <c r="F224" i="7"/>
  <c r="H220" i="7"/>
  <c r="H219" i="7"/>
  <c r="F216" i="7"/>
  <c r="F217" i="7"/>
  <c r="F218" i="7"/>
  <c r="F215" i="7"/>
  <c r="H210" i="7"/>
  <c r="G205" i="7"/>
  <c r="G206" i="7"/>
  <c r="G207" i="7"/>
  <c r="G208" i="7"/>
  <c r="G209" i="7"/>
  <c r="G204" i="7"/>
  <c r="F197" i="7"/>
  <c r="F198" i="7"/>
  <c r="F199" i="7"/>
  <c r="F200" i="7"/>
  <c r="F201" i="7"/>
  <c r="F202" i="7"/>
  <c r="F196" i="7"/>
  <c r="H155" i="7"/>
  <c r="F154" i="7"/>
  <c r="F153" i="7"/>
  <c r="I150" i="7"/>
  <c r="G150" i="7"/>
  <c r="H149" i="7"/>
  <c r="H150" i="7" s="1"/>
  <c r="F146" i="7"/>
  <c r="F147" i="7"/>
  <c r="F148" i="7"/>
  <c r="F145" i="7"/>
  <c r="F138" i="7"/>
  <c r="F139" i="7"/>
  <c r="F140" i="7"/>
  <c r="F137" i="7"/>
  <c r="I134" i="7"/>
  <c r="G134" i="7"/>
  <c r="H133" i="7"/>
  <c r="H134" i="7" s="1"/>
  <c r="F130" i="7"/>
  <c r="F131" i="7"/>
  <c r="F132" i="7"/>
  <c r="F129" i="7"/>
  <c r="I104" i="7"/>
  <c r="I114" i="7"/>
  <c r="I125" i="7"/>
  <c r="G125" i="7"/>
  <c r="H124" i="7"/>
  <c r="H125" i="7" s="1"/>
  <c r="F118" i="7"/>
  <c r="F119" i="7"/>
  <c r="F120" i="7"/>
  <c r="F121" i="7"/>
  <c r="F122" i="7"/>
  <c r="F123" i="7"/>
  <c r="F117" i="7"/>
  <c r="H113" i="7"/>
  <c r="F108" i="7"/>
  <c r="F109" i="7"/>
  <c r="F110" i="7"/>
  <c r="F111" i="7"/>
  <c r="F112" i="7"/>
  <c r="F107" i="7"/>
  <c r="D11" i="8" l="1"/>
  <c r="D92" i="8" s="1"/>
  <c r="D91" i="8" s="1"/>
  <c r="D99" i="8" s="1"/>
  <c r="D98" i="8"/>
  <c r="F211" i="7"/>
  <c r="G273" i="7"/>
  <c r="F273" i="7"/>
  <c r="H273" i="7"/>
  <c r="D22" i="8"/>
  <c r="D10" i="4" s="1"/>
  <c r="D3" i="8"/>
  <c r="D8" i="4" s="1"/>
  <c r="C20" i="8"/>
  <c r="F239" i="7"/>
  <c r="F134" i="7"/>
  <c r="F150" i="7"/>
  <c r="F125" i="7"/>
  <c r="F142" i="7"/>
  <c r="F156" i="7"/>
  <c r="D6" i="8" l="1"/>
  <c r="D34" i="8"/>
  <c r="D33" i="8" s="1"/>
  <c r="D85" i="8"/>
  <c r="D97" i="8"/>
  <c r="D32" i="8"/>
  <c r="E273" i="7"/>
  <c r="D9" i="4"/>
  <c r="H103" i="7"/>
  <c r="F97" i="7"/>
  <c r="F98" i="7"/>
  <c r="F99" i="7"/>
  <c r="F100" i="7"/>
  <c r="F101" i="7"/>
  <c r="F102" i="7"/>
  <c r="F96" i="7"/>
  <c r="I93" i="7"/>
  <c r="H92" i="7"/>
  <c r="H93" i="7" s="1"/>
  <c r="G90" i="7"/>
  <c r="G91" i="7"/>
  <c r="G89" i="7"/>
  <c r="F85" i="7"/>
  <c r="F86" i="7"/>
  <c r="F87" i="7"/>
  <c r="F88" i="7"/>
  <c r="F84" i="7"/>
  <c r="I81" i="7"/>
  <c r="F75" i="7"/>
  <c r="F76" i="7"/>
  <c r="F77" i="7"/>
  <c r="F78" i="7"/>
  <c r="F74" i="7"/>
  <c r="H69" i="7"/>
  <c r="H59" i="7"/>
  <c r="F64" i="7"/>
  <c r="F65" i="7"/>
  <c r="F66" i="7"/>
  <c r="F67" i="7"/>
  <c r="F68" i="7"/>
  <c r="F63" i="7"/>
  <c r="F57" i="7"/>
  <c r="F58" i="7"/>
  <c r="F56" i="7"/>
  <c r="D31" i="8" l="1"/>
  <c r="D30" i="8" s="1"/>
  <c r="D12" i="4" s="1"/>
  <c r="D51" i="8"/>
  <c r="D49" i="8" s="1"/>
  <c r="E99" i="8"/>
  <c r="F60" i="7"/>
  <c r="G93" i="7"/>
  <c r="F93" i="7"/>
  <c r="H51" i="7"/>
  <c r="D21" i="4" l="1"/>
  <c r="D46" i="8"/>
  <c r="D44" i="8" s="1"/>
  <c r="D43" i="8" s="1"/>
  <c r="D14" i="4" s="1"/>
  <c r="E98" i="8"/>
  <c r="E97" i="8" s="1"/>
  <c r="D22" i="4"/>
  <c r="H52" i="7"/>
  <c r="H53" i="7" s="1"/>
  <c r="F46" i="7"/>
  <c r="F47" i="7"/>
  <c r="F48" i="7"/>
  <c r="F49" i="7"/>
  <c r="F50" i="7"/>
  <c r="F45" i="7"/>
  <c r="I41" i="7"/>
  <c r="G41" i="7"/>
  <c r="H40" i="7"/>
  <c r="H41" i="7" s="1"/>
  <c r="F34" i="7"/>
  <c r="F35" i="7"/>
  <c r="F36" i="7"/>
  <c r="F37" i="7"/>
  <c r="F38" i="7"/>
  <c r="F39" i="7"/>
  <c r="F33" i="7"/>
  <c r="I30" i="7"/>
  <c r="I10" i="7"/>
  <c r="H29" i="7"/>
  <c r="H30" i="7" s="1"/>
  <c r="F23" i="7"/>
  <c r="F24" i="7"/>
  <c r="F25" i="7"/>
  <c r="F26" i="7"/>
  <c r="F28" i="7"/>
  <c r="F22" i="7"/>
  <c r="I19" i="7"/>
  <c r="H18" i="7"/>
  <c r="F17" i="7"/>
  <c r="F16" i="7"/>
  <c r="G15" i="7"/>
  <c r="F14" i="7"/>
  <c r="F13" i="7"/>
  <c r="F6" i="7"/>
  <c r="H9" i="7"/>
  <c r="H8" i="7"/>
  <c r="H7" i="7"/>
  <c r="B128" i="7"/>
  <c r="B257" i="7"/>
  <c r="A257" i="7"/>
  <c r="B249" i="7"/>
  <c r="A249" i="7"/>
  <c r="B241" i="7"/>
  <c r="A241" i="7"/>
  <c r="B231" i="7"/>
  <c r="A231" i="7"/>
  <c r="B223" i="7"/>
  <c r="A223" i="7"/>
  <c r="B214" i="7"/>
  <c r="A214" i="7"/>
  <c r="B195" i="7"/>
  <c r="A195" i="7"/>
  <c r="A177" i="7"/>
  <c r="B159" i="7"/>
  <c r="A159" i="7"/>
  <c r="H254" i="7"/>
  <c r="F254" i="7"/>
  <c r="I254" i="7"/>
  <c r="I247" i="7"/>
  <c r="H247" i="7"/>
  <c r="F247" i="7"/>
  <c r="I239" i="7"/>
  <c r="H239" i="7"/>
  <c r="I228" i="7"/>
  <c r="H228" i="7"/>
  <c r="F228" i="7"/>
  <c r="I221" i="7"/>
  <c r="F221" i="7"/>
  <c r="H221" i="7"/>
  <c r="H211" i="7"/>
  <c r="B152" i="7"/>
  <c r="A152" i="7"/>
  <c r="B144" i="7"/>
  <c r="A144" i="7"/>
  <c r="B136" i="7"/>
  <c r="A136" i="7"/>
  <c r="A128" i="7"/>
  <c r="B116" i="7"/>
  <c r="A116" i="7"/>
  <c r="B106" i="7"/>
  <c r="A106" i="7"/>
  <c r="B95" i="7"/>
  <c r="A95" i="7"/>
  <c r="B83" i="7"/>
  <c r="A83" i="7"/>
  <c r="I156" i="7"/>
  <c r="H156" i="7"/>
  <c r="I142" i="7"/>
  <c r="H141" i="7"/>
  <c r="H142" i="7" s="1"/>
  <c r="H114" i="7"/>
  <c r="F114" i="7"/>
  <c r="H104" i="7"/>
  <c r="F104" i="7"/>
  <c r="B73" i="7"/>
  <c r="A73" i="7"/>
  <c r="B44" i="7"/>
  <c r="B62" i="7"/>
  <c r="A62" i="7"/>
  <c r="B55" i="7"/>
  <c r="A55" i="7"/>
  <c r="A44" i="7"/>
  <c r="B32" i="7"/>
  <c r="A32" i="7"/>
  <c r="B21" i="7"/>
  <c r="A21" i="7"/>
  <c r="B12" i="7"/>
  <c r="B5" i="7"/>
  <c r="F34" i="4" l="1"/>
  <c r="F41" i="7"/>
  <c r="F53" i="7"/>
  <c r="E134" i="7"/>
  <c r="E26" i="4" s="1"/>
  <c r="F26" i="4" s="1"/>
  <c r="E50" i="4"/>
  <c r="G254" i="7"/>
  <c r="E254" i="7" s="1"/>
  <c r="E46" i="4" s="1"/>
  <c r="F46" i="4" s="1"/>
  <c r="E150" i="7"/>
  <c r="E28" i="4" s="1"/>
  <c r="F28" i="4" s="1"/>
  <c r="F33" i="4"/>
  <c r="G104" i="7"/>
  <c r="E104" i="7" s="1"/>
  <c r="E20" i="4" s="1"/>
  <c r="F20" i="4" s="1"/>
  <c r="G114" i="7"/>
  <c r="E114" i="7" s="1"/>
  <c r="E21" i="4" s="1"/>
  <c r="F21" i="4" s="1"/>
  <c r="E125" i="7"/>
  <c r="E22" i="4" s="1"/>
  <c r="F22" i="4" s="1"/>
  <c r="G156" i="7"/>
  <c r="E156" i="7" s="1"/>
  <c r="E29" i="4" s="1"/>
  <c r="F29" i="4" s="1"/>
  <c r="G211" i="7"/>
  <c r="E211" i="7" s="1"/>
  <c r="E35" i="4" s="1"/>
  <c r="F35" i="4" s="1"/>
  <c r="G228" i="7"/>
  <c r="E228" i="7" s="1"/>
  <c r="E40" i="4" s="1"/>
  <c r="F40" i="4" s="1"/>
  <c r="G142" i="7"/>
  <c r="E142" i="7" s="1"/>
  <c r="E27" i="4" s="1"/>
  <c r="F27" i="4" s="1"/>
  <c r="G221" i="7"/>
  <c r="E221" i="7" s="1"/>
  <c r="E39" i="4" s="1"/>
  <c r="F39" i="4" s="1"/>
  <c r="G239" i="7"/>
  <c r="E239" i="7" s="1"/>
  <c r="E44" i="4" s="1"/>
  <c r="F44" i="4" s="1"/>
  <c r="G247" i="7"/>
  <c r="E247" i="7" s="1"/>
  <c r="E45" i="4" s="1"/>
  <c r="F45" i="4" s="1"/>
  <c r="F47" i="4" l="1"/>
  <c r="F41" i="4"/>
  <c r="F36" i="4"/>
  <c r="F30" i="4"/>
  <c r="H80" i="7"/>
  <c r="G79" i="7"/>
  <c r="H70" i="7" l="1"/>
  <c r="I70" i="7"/>
  <c r="F70" i="7"/>
  <c r="G70" i="7" l="1"/>
  <c r="A12" i="7" l="1"/>
  <c r="F19" i="7" l="1"/>
  <c r="H19" i="7" l="1"/>
  <c r="G19" i="7"/>
  <c r="E19" i="7" l="1"/>
  <c r="E9" i="4" s="1"/>
  <c r="F9" i="4" s="1"/>
  <c r="H10" i="7" l="1"/>
  <c r="F10" i="7"/>
  <c r="G10" i="7" l="1"/>
  <c r="E10" i="7" s="1"/>
  <c r="E8" i="4" s="1"/>
  <c r="F8" i="4" s="1"/>
  <c r="H81" i="7" l="1"/>
  <c r="G81" i="7"/>
  <c r="F81" i="7" l="1"/>
  <c r="E81" i="7" s="1"/>
  <c r="E18" i="4" s="1"/>
  <c r="F18" i="4" s="1"/>
  <c r="B3" i="8"/>
  <c r="A3" i="8"/>
  <c r="I60" i="7"/>
  <c r="H60" i="7"/>
  <c r="I53" i="7"/>
  <c r="F30" i="7"/>
  <c r="A5" i="7"/>
  <c r="F50" i="4" l="1"/>
  <c r="F51" i="4" s="1"/>
  <c r="E93" i="7"/>
  <c r="E19" i="4" s="1"/>
  <c r="F19" i="4" s="1"/>
  <c r="G30" i="7"/>
  <c r="E30" i="7" s="1"/>
  <c r="E10" i="4" s="1"/>
  <c r="F10" i="4" s="1"/>
  <c r="E70" i="7"/>
  <c r="E14" i="4" s="1"/>
  <c r="F14" i="4" s="1"/>
  <c r="G60" i="7"/>
  <c r="E60" i="7" s="1"/>
  <c r="E13" i="4" s="1"/>
  <c r="F13" i="4" s="1"/>
  <c r="G53" i="7"/>
  <c r="E53" i="7" s="1"/>
  <c r="E12" i="4" s="1"/>
  <c r="F12" i="4" s="1"/>
  <c r="E41" i="7"/>
  <c r="E11" i="4" s="1"/>
  <c r="F11" i="4" s="1"/>
  <c r="F15" i="4" l="1"/>
  <c r="C56" i="8"/>
  <c r="B56" i="8"/>
  <c r="A56" i="8"/>
  <c r="B55" i="8" l="1"/>
  <c r="A55" i="8"/>
  <c r="B2" i="8"/>
  <c r="A2" i="8"/>
  <c r="F23" i="4" l="1"/>
  <c r="F59" i="4" s="1"/>
  <c r="F60" i="4" l="1"/>
  <c r="F62" i="4" s="1"/>
</calcChain>
</file>

<file path=xl/sharedStrings.xml><?xml version="1.0" encoding="utf-8"?>
<sst xmlns="http://schemas.openxmlformats.org/spreadsheetml/2006/main" count="1065" uniqueCount="248">
  <si>
    <t>UND</t>
  </si>
  <si>
    <t xml:space="preserve"> </t>
  </si>
  <si>
    <t>ANEXO 3</t>
  </si>
  <si>
    <t xml:space="preserve"> UNIDAD</t>
  </si>
  <si>
    <t xml:space="preserve">CANTIDAD </t>
  </si>
  <si>
    <t>PRECIO</t>
  </si>
  <si>
    <t>TOTAL</t>
  </si>
  <si>
    <t>SUB TOTAL</t>
  </si>
  <si>
    <t>ML</t>
  </si>
  <si>
    <t>IVA SOBRE UTILIDAD</t>
  </si>
  <si>
    <t>___%</t>
  </si>
  <si>
    <t>UNIDAD</t>
  </si>
  <si>
    <t>RENDIM</t>
  </si>
  <si>
    <t>EQUIPO</t>
  </si>
  <si>
    <t>MATERIAL</t>
  </si>
  <si>
    <t>GENTE</t>
  </si>
  <si>
    <t>OTROS</t>
  </si>
  <si>
    <t>DIRECTO:</t>
  </si>
  <si>
    <t>MEMORIA DE CANTIDADES</t>
  </si>
  <si>
    <t>LONGITUD</t>
  </si>
  <si>
    <t>ALTO</t>
  </si>
  <si>
    <t>ANCHO</t>
  </si>
  <si>
    <t>CANTIDAD</t>
  </si>
  <si>
    <t>REVISO: ING. CARLOS ARMANDO BUCHELI</t>
  </si>
  <si>
    <t>Director Fondo de Construcciones</t>
  </si>
  <si>
    <t>COSTO DIRECTO</t>
  </si>
  <si>
    <t>AUI</t>
  </si>
  <si>
    <t>COSTOS INDIRECTOS</t>
  </si>
  <si>
    <t>FORMULARIO DE CANTIDADES</t>
  </si>
  <si>
    <t>UNIVERSIDAD DE NARIÑO-TOROBAJO</t>
  </si>
  <si>
    <t>OBSERVACIONES</t>
  </si>
  <si>
    <t>COMPLEMENTARIOS</t>
  </si>
  <si>
    <t>AREA M2</t>
  </si>
  <si>
    <t>GLB</t>
  </si>
  <si>
    <t xml:space="preserve">DIRECTO: </t>
  </si>
  <si>
    <t>Ver plano 5</t>
  </si>
  <si>
    <t>Ver plano 4</t>
  </si>
  <si>
    <t>Auxiliar de ingeniería Fondo de Construcciones</t>
  </si>
  <si>
    <t>ELABORADO POR: CAROLINA BASTIDAS</t>
  </si>
  <si>
    <t>FECHA: OCTUBRE DE 2017</t>
  </si>
  <si>
    <t>HR</t>
  </si>
  <si>
    <t>KG</t>
  </si>
  <si>
    <t>M3</t>
  </si>
  <si>
    <t>TRAMO 1</t>
  </si>
  <si>
    <t>TRAMO 2</t>
  </si>
  <si>
    <t>EXCAVACIONES</t>
  </si>
  <si>
    <t>01,01</t>
  </si>
  <si>
    <t>01,02</t>
  </si>
  <si>
    <t>01,03</t>
  </si>
  <si>
    <t>01,04</t>
  </si>
  <si>
    <t>01,06</t>
  </si>
  <si>
    <t>01,07</t>
  </si>
  <si>
    <t>ml</t>
  </si>
  <si>
    <t>m3</t>
  </si>
  <si>
    <t>Entibado con tablones cada 0.5m apuntalamiento guadua Dmin=3" (Incluye dos caras)</t>
  </si>
  <si>
    <t>m2</t>
  </si>
  <si>
    <t>02.01</t>
  </si>
  <si>
    <t>02.02</t>
  </si>
  <si>
    <t>02.03</t>
  </si>
  <si>
    <t>02.04</t>
  </si>
  <si>
    <t>02.05</t>
  </si>
  <si>
    <t>RELLENOS</t>
  </si>
  <si>
    <t>Tubería Novafort PVC Estr. 200mm 8 pulg sanitaria</t>
  </si>
  <si>
    <t>Tubería Novafort PVC Estr. 250mm 10 pulg sanitaria</t>
  </si>
  <si>
    <t>Tubería Novafort PVC Estr. 400mm 16 pulg sanitaria</t>
  </si>
  <si>
    <t>Und</t>
  </si>
  <si>
    <t>04.03</t>
  </si>
  <si>
    <t>Kg</t>
  </si>
  <si>
    <t>04.02</t>
  </si>
  <si>
    <t>05.01</t>
  </si>
  <si>
    <t>Demolición cámara de inspección incluye desalojo</t>
  </si>
  <si>
    <t>und</t>
  </si>
  <si>
    <t>05.02</t>
  </si>
  <si>
    <t>INSTALACIONES SANITARIAS</t>
  </si>
  <si>
    <t>CAMARAS Y CAJAS DE INSPECCION</t>
  </si>
  <si>
    <t>DEMOLICIONES</t>
  </si>
  <si>
    <t>06.01</t>
  </si>
  <si>
    <t>06.02</t>
  </si>
  <si>
    <t>Corte y retiro de árboles H&gt;=6m y acopio de madera (incluye raices)</t>
  </si>
  <si>
    <t>06.03</t>
  </si>
  <si>
    <t>Siembra de planta nativa Hprom=0.80m</t>
  </si>
  <si>
    <t>07.01</t>
  </si>
  <si>
    <t>CADENERO</t>
  </si>
  <si>
    <t>Cadenero mes + prestaciones</t>
  </si>
  <si>
    <t>TOPOGRAFO</t>
  </si>
  <si>
    <t>Equipo de Topografía</t>
  </si>
  <si>
    <t>MES</t>
  </si>
  <si>
    <t>CARGADOR RETROEXCAVADOR MF86HD</t>
  </si>
  <si>
    <t>VOLQUETA (VIAJE 7M3.)</t>
  </si>
  <si>
    <t>Vj</t>
  </si>
  <si>
    <t>Herramienta Menor</t>
  </si>
  <si>
    <t>glb</t>
  </si>
  <si>
    <t>MONOGAFA CON MONTURA Ref.9000</t>
  </si>
  <si>
    <t>PROTECTOR PARA OIDO CONTRA 9098</t>
  </si>
  <si>
    <t>OPERARIO MAQUINARIA</t>
  </si>
  <si>
    <t>DIA</t>
  </si>
  <si>
    <t>ESCOMBRERA</t>
  </si>
  <si>
    <t>CARRETILLA "BUGUI"</t>
  </si>
  <si>
    <t>GUANTES Ind. C-35 TALL 8-9 No.8</t>
  </si>
  <si>
    <t>Pala No.2 cuadrada con cabo</t>
  </si>
  <si>
    <t>PALA No.2 P/REDONDA CON CABO</t>
  </si>
  <si>
    <t>PICA GAVILAN GAVILAN</t>
  </si>
  <si>
    <t>CASCO ARSEG Ref.100967</t>
  </si>
  <si>
    <t>RESPIRADOR CONTRA POLVO ARSEG 1002</t>
  </si>
  <si>
    <t>M/O EXCAV. MANUAL</t>
  </si>
  <si>
    <t>Ayudante General + Prestaciones</t>
  </si>
  <si>
    <t>Día</t>
  </si>
  <si>
    <t>GUANTES CARNAZA</t>
  </si>
  <si>
    <t>CHALECO REFLECTIVO PONCHO</t>
  </si>
  <si>
    <t>Cuadrilla General de Albañilería</t>
  </si>
  <si>
    <t>Jnl</t>
  </si>
  <si>
    <t>Mano de Obra Maestro</t>
  </si>
  <si>
    <t>ELEMENTOS DE PROTECCION PERSONAL</t>
  </si>
  <si>
    <t>GUADUA</t>
  </si>
  <si>
    <t>TABLON ORDINARIO E=5CM</t>
  </si>
  <si>
    <t>Cuadrilla I</t>
  </si>
  <si>
    <t>CASCO ARSEG Ref.10096</t>
  </si>
  <si>
    <t>Arena</t>
  </si>
  <si>
    <t>Cuadrilla III</t>
  </si>
  <si>
    <t>Rana Vibrocompactadora E 50X74 CM</t>
  </si>
  <si>
    <t>RECEBO / MATERIAL DE SUB BASE</t>
  </si>
  <si>
    <t>TRITURADO</t>
  </si>
  <si>
    <t>M/O BASES</t>
  </si>
  <si>
    <t>COMPACTADOR VIBRATORIO</t>
  </si>
  <si>
    <t>RANA VIBROCOMPACTADORA/DIA</t>
  </si>
  <si>
    <t>Hora</t>
  </si>
  <si>
    <t>Material de prestamo</t>
  </si>
  <si>
    <t>HORA AYUDANTE ALBAÑIL</t>
  </si>
  <si>
    <t>HORA OFICIAL ALBAÑIL</t>
  </si>
  <si>
    <t>Maestro General</t>
  </si>
  <si>
    <t>jnl</t>
  </si>
  <si>
    <t>M/O Instalación Accesorio Novafort</t>
  </si>
  <si>
    <t>Alambre Negro Calibre 18</t>
  </si>
  <si>
    <t>tablero - formaleta metalica</t>
  </si>
  <si>
    <t>Concreto 1:2:3</t>
  </si>
  <si>
    <t>LINEA DE VIDA</t>
  </si>
  <si>
    <t>ARNES DE ALTURA CON ESLINGA</t>
  </si>
  <si>
    <t>CONCRETO 3500 PSI COMUN C/Prem</t>
  </si>
  <si>
    <t>Tablón para Andamio</t>
  </si>
  <si>
    <t>Puntilla 1” con Cabeza</t>
  </si>
  <si>
    <t>lb</t>
  </si>
  <si>
    <t>LISTON EN ORDINARIO .03 x.025 x3</t>
  </si>
  <si>
    <t>Tabla Común E=2cm L=2.70m</t>
  </si>
  <si>
    <t>M/O CONCRETO</t>
  </si>
  <si>
    <t>COMPRESOR 2 MARTILLOS 185 PCM x hora</t>
  </si>
  <si>
    <t>VOLQUETA (VIAJE 6M3 Max.3O KM)</t>
  </si>
  <si>
    <t>M/O Demolición Concreto Reforzado</t>
  </si>
  <si>
    <t>POLISOMBRA BLANCA 6.20 MTS</t>
  </si>
  <si>
    <t>Puntilla 2" con cabeza</t>
  </si>
  <si>
    <t>Lb</t>
  </si>
  <si>
    <t>MdeO CERRAMIENTO EN LONA VERDE</t>
  </si>
  <si>
    <t>Planta nativa Hprom=0.80m</t>
  </si>
  <si>
    <t>Tierra agrícola negra</t>
  </si>
  <si>
    <t>AYUDANTE ALBAÑILERIA GENERAL</t>
  </si>
  <si>
    <t>JR</t>
  </si>
  <si>
    <t>CONCRETO 3000 PSI COMUN C/Prem</t>
  </si>
  <si>
    <t>Perfil 14S-Camaras 46S - 47S</t>
  </si>
  <si>
    <t>Perfil 15S-Camaras 42S-43S</t>
  </si>
  <si>
    <t>Perfil 15S-Camaras 43S-47S-48S-49S-50S-51S-52S-53S-54S-ALC. EMPO.</t>
  </si>
  <si>
    <t>Perfil 13P Camaras 43S-41P</t>
  </si>
  <si>
    <t>Perfil Disipador Cámaras 41P-42P</t>
  </si>
  <si>
    <t>Camara 46S-47S con sobreancho de 0.50 m (Dext 1.70m)</t>
  </si>
  <si>
    <t>Camaras 43S-47S-48S-49S-50S-51S-52S  con sobreancho de 0.50 m (Dext 1.70m)</t>
  </si>
  <si>
    <t>Camaras 53S-54S  con sobreancho de 0.80 m (Dext 2.0m)</t>
  </si>
  <si>
    <t>Explanación talud de vía para posicionamiento de maquina tramo 48S-53S</t>
  </si>
  <si>
    <t>Descuento cama de cimentación</t>
  </si>
  <si>
    <t>Perfil 14S-Camaras 45S - 46S</t>
  </si>
  <si>
    <t>Camara 45S con sobreancho de 0.50 m (Dext 1.70m)</t>
  </si>
  <si>
    <t>Cama de cimentación</t>
  </si>
  <si>
    <t>Perfil 15S-Camaras 52S-53S-54S-ALC. EMPO.</t>
  </si>
  <si>
    <t>Relleno material de prestamo</t>
  </si>
  <si>
    <t>Volumen ocupado por tuberías</t>
  </si>
  <si>
    <t>Relleno material selecionado - tuberia 8", 10, 16"</t>
  </si>
  <si>
    <t>Descuento mitad de  tubería 8"</t>
  </si>
  <si>
    <t>Descuento mitad de  tubería 10"</t>
  </si>
  <si>
    <t>Descuento mitad de  tubería 16"</t>
  </si>
  <si>
    <t>Excavaciones totales</t>
  </si>
  <si>
    <t>Relleno material selecionado</t>
  </si>
  <si>
    <t>Volumen tuberia</t>
  </si>
  <si>
    <t>Volumen ocupado de camaras  con D externo 1.70m</t>
  </si>
  <si>
    <t>Volumen ocupado de camaras  con D externo 2.00m</t>
  </si>
  <si>
    <t>Tramo 45S-46S</t>
  </si>
  <si>
    <t>Tramo 43S-47S</t>
  </si>
  <si>
    <t>Tramo 46S-47S</t>
  </si>
  <si>
    <t>TRAMO 47S-48S-49S-50S-51S-52S-53S-54S-ALC. EMPO.</t>
  </si>
  <si>
    <t>Tramo 43S-41P</t>
  </si>
  <si>
    <t>Tramo 41P-42P (Disipador)</t>
  </si>
  <si>
    <t>Tramo 42S-43S</t>
  </si>
  <si>
    <t>Cámara 47S</t>
  </si>
  <si>
    <t>45S</t>
  </si>
  <si>
    <t>46S, 48S, 49S, 50S</t>
  </si>
  <si>
    <t>47S, 51S, 52S, 41P</t>
  </si>
  <si>
    <t>53S, 54S - muros e=0.30m</t>
  </si>
  <si>
    <t>53S, 54S - losa inferior y superior</t>
  </si>
  <si>
    <t>Cámara 43P</t>
  </si>
  <si>
    <t>DISIPADOR Y ESTRUCTURA DE ALIVIO</t>
  </si>
  <si>
    <t>DISIPADOR</t>
  </si>
  <si>
    <t>Muros laterales</t>
  </si>
  <si>
    <t>Losa de contrapiso</t>
  </si>
  <si>
    <t>Pantalla disipadora</t>
  </si>
  <si>
    <t>Pantallas deflectoras</t>
  </si>
  <si>
    <t>Diente umbral terminal</t>
  </si>
  <si>
    <t>Dientes de empotramiento</t>
  </si>
  <si>
    <t>Diente superior de canal</t>
  </si>
  <si>
    <t>Losa aérea</t>
  </si>
  <si>
    <t>Canaleta doble vertedero</t>
  </si>
  <si>
    <t>ESTRUCTURA DE ALIVIO</t>
  </si>
  <si>
    <t xml:space="preserve">CONCRETO CICLOPEO 2000 PSI </t>
  </si>
  <si>
    <t>PLASTOCRETE 4,5 KG</t>
  </si>
  <si>
    <t xml:space="preserve">PLASTOCRETE </t>
  </si>
  <si>
    <t>PLASTOCRETE</t>
  </si>
  <si>
    <t>08.01</t>
  </si>
  <si>
    <t xml:space="preserve">Relleno material de prestamo compactado </t>
  </si>
  <si>
    <t>Tubería sanitaria estructurada 200mm (8 pulg sanitaria) (no incluye suministro)</t>
  </si>
  <si>
    <t>Tubería sanitaria estructurada 250mm (10 pulg sanitaria) (no incluye suministro)</t>
  </si>
  <si>
    <t>Tubería sanitaria estructurada 400mm (16 pulg sanitaria) (no incluye suministro)</t>
  </si>
  <si>
    <t>04.01</t>
  </si>
  <si>
    <t>Cancelación de puntos de alcantarillado con concreto</t>
  </si>
  <si>
    <t>M/O</t>
  </si>
  <si>
    <t>h-h</t>
  </si>
  <si>
    <t>M2</t>
  </si>
  <si>
    <t>Disipador y estructura de alivio 5.5 X 1.2 X 2.8</t>
  </si>
  <si>
    <t xml:space="preserve">Localización y replanteo </t>
  </si>
  <si>
    <t>Excavación total</t>
  </si>
  <si>
    <t>Volumen ocupado por camaras de D externo =1.70m</t>
  </si>
  <si>
    <t>Relleno material selecionado - tuberia 8"</t>
  </si>
  <si>
    <t xml:space="preserve"> "Codo 90° estructurado 8 pulg</t>
  </si>
  <si>
    <t>Camara de inspección en 3000 psi 3.5 m&lt;H&lt;=5 m D Int = 1.20 m Cónica</t>
  </si>
  <si>
    <t>Camara de inspección en concreto 3000 psi 2.50 m&lt;H&lt;=3.5 m D Int = 1.20 m</t>
  </si>
  <si>
    <t>Desalojo de Material Sobrante</t>
  </si>
  <si>
    <t>Capa de protección de la tuberia en arena blanca Epromedio=0,03m</t>
  </si>
  <si>
    <t>Relleno inicial con recebo por encima de la clave compactado manualmente (según detalle)</t>
  </si>
  <si>
    <t>Sum. e instalación de material para cama de cimentación 50% triturado - 50% recebo compactado mecanicamente (según detalle)</t>
  </si>
  <si>
    <t xml:space="preserve">Relleno con material de excavación, compactación mecánica </t>
  </si>
  <si>
    <t>kilo</t>
  </si>
  <si>
    <t>01,05</t>
  </si>
  <si>
    <t>Excavación mecánica incluye desalojo en el sitio H&lt;=5.0m</t>
  </si>
  <si>
    <t>Exacavación manual tierra seca incluye desalojo en el sitio H&lt;=5m</t>
  </si>
  <si>
    <t>Exacavación manual tierra seca  incluye desalojo en el sitio H&gt;5m</t>
  </si>
  <si>
    <t>Corte de Roca, incluye desalojo en el sitio</t>
  </si>
  <si>
    <t>cámara de inspección en Concreto Impermeabilizado de 3500 PSI  H&gt;5 m</t>
  </si>
  <si>
    <t xml:space="preserve">Cerramiento en Polisombra blanca,H=2.10M, guadua </t>
  </si>
  <si>
    <t>CÁMARA SEPARADORA DE FLUJO</t>
  </si>
  <si>
    <t>Cámara separadora de flujo</t>
  </si>
  <si>
    <t>soldadura</t>
  </si>
  <si>
    <t>PRESUPUESTO PARA LA CONSTRUCCIÓN DE I ETAPA DE LA RED SANITARIA DEL NUEVO BLOQUE UNO DE LA UNIVERSIDAD DE NARIÑO - SEDE TOROBAJO</t>
  </si>
  <si>
    <t>PRESUPUESTO PARA LA CONSTRUCCIÓN DE I ETAPA DE LA RED SANITARIA DEL NUEVO BLOQUE UNO DE LA UNIVERSIDAD DE NARIÑO -SEDE TOROBAJO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</si>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</sst>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##,###.00"/>
    <numFmt numFmtId="166" formatCode="###,###"/>
    <numFmt numFmtId="167" formatCode="0.0"/>
    <numFmt numFmtId="168" formatCode="_-* #,##0_-;\-* #,##0_-;_-* &quot;-&quot;??_-;_-@_-"/>
    <numFmt numFmtId="169" formatCode="###,###.0"/>
    <numFmt numFmtId="170" formatCode="_(* #,##0.00_);_(* \(#,##0.00\);_(* &quot;-&quot;??_);_(@_)"/>
    <numFmt numFmtId="171" formatCode="0.000"/>
    <numFmt numFmtId="172" formatCode="0.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.5"/>
      <name val="Arial"/>
      <family val="2"/>
    </font>
    <font>
      <b/>
      <sz val="9.5"/>
      <color indexed="8"/>
      <name val="Arial"/>
      <family val="2"/>
      <charset val="1"/>
    </font>
    <font>
      <sz val="11"/>
      <color indexed="8"/>
      <name val="Calibri"/>
      <family val="2"/>
      <charset val="1"/>
    </font>
    <font>
      <sz val="9.5"/>
      <name val="Arial"/>
      <family val="2"/>
      <charset val="1"/>
    </font>
    <font>
      <b/>
      <sz val="9.5"/>
      <name val="Arial"/>
      <family val="2"/>
      <charset val="1"/>
    </font>
    <font>
      <sz val="10"/>
      <color indexed="8"/>
      <name val="Arial"/>
      <family val="2"/>
    </font>
    <font>
      <b/>
      <sz val="9.5"/>
      <name val="Arial"/>
      <family val="2"/>
    </font>
    <font>
      <b/>
      <sz val="10"/>
      <color indexed="8"/>
      <name val="Calibri"/>
      <family val="2"/>
    </font>
    <font>
      <b/>
      <sz val="11"/>
      <color indexed="8"/>
      <name val="Agency FB"/>
      <family val="2"/>
    </font>
    <font>
      <sz val="8"/>
      <color indexed="8"/>
      <name val="Arial"/>
      <family val="2"/>
      <charset val="1"/>
    </font>
    <font>
      <sz val="10"/>
      <color indexed="8"/>
      <name val="Microsoft Sans Serif"/>
      <family val="2"/>
    </font>
    <font>
      <sz val="10"/>
      <color indexed="8"/>
      <name val="Courier New"/>
      <family val="3"/>
    </font>
    <font>
      <sz val="9"/>
      <color indexed="8"/>
      <name val="Microsoft Sans Serif"/>
      <family val="2"/>
    </font>
    <font>
      <sz val="9"/>
      <color indexed="8"/>
      <name val="Courier New"/>
      <family val="3"/>
    </font>
    <font>
      <b/>
      <sz val="10"/>
      <color indexed="10"/>
      <name val="Arial Narrow"/>
      <family val="2"/>
      <charset val="1"/>
    </font>
    <font>
      <b/>
      <sz val="10"/>
      <color indexed="8"/>
      <name val="Arial Narrow"/>
      <family val="2"/>
      <charset val="1"/>
    </font>
    <font>
      <b/>
      <sz val="10"/>
      <color indexed="19"/>
      <name val="Arial Narrow"/>
      <family val="2"/>
      <charset val="1"/>
    </font>
    <font>
      <sz val="1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9"/>
      <name val="Arial"/>
      <family val="2"/>
      <charset val="1"/>
    </font>
    <font>
      <sz val="7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39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52"/>
      </patternFill>
    </fill>
    <fill>
      <patternFill patternType="solid">
        <fgColor theme="6" tint="0.59999389629810485"/>
        <bgColor indexed="34"/>
      </patternFill>
    </fill>
    <fill>
      <patternFill patternType="solid">
        <fgColor indexed="43"/>
        <bgColor indexed="3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1" fillId="0" borderId="0"/>
    <xf numFmtId="0" fontId="31" fillId="0" borderId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/>
    <xf numFmtId="0" fontId="4" fillId="0" borderId="0" xfId="0" quotePrefix="1" applyNumberFormat="1" applyFont="1" applyFill="1" applyBorder="1" applyAlignment="1" applyProtection="1">
      <alignment horizontal="left" vertical="top"/>
    </xf>
    <xf numFmtId="0" fontId="4" fillId="0" borderId="0" xfId="0" quotePrefix="1" applyNumberFormat="1" applyFont="1" applyFill="1" applyBorder="1" applyAlignment="1" applyProtection="1">
      <alignment horizontal="left" vertical="top" wrapText="1"/>
    </xf>
    <xf numFmtId="0" fontId="5" fillId="0" borderId="0" xfId="0" applyFont="1" applyBorder="1"/>
    <xf numFmtId="165" fontId="4" fillId="0" borderId="0" xfId="0" applyNumberFormat="1" applyFont="1" applyFill="1" applyBorder="1" applyAlignment="1" applyProtection="1"/>
    <xf numFmtId="0" fontId="8" fillId="0" borderId="1" xfId="0" applyFont="1" applyBorder="1" applyAlignment="1">
      <alignment horizontal="left" vertical="top" wrapText="1"/>
    </xf>
    <xf numFmtId="0" fontId="0" fillId="0" borderId="0" xfId="0" applyBorder="1"/>
    <xf numFmtId="0" fontId="9" fillId="0" borderId="2" xfId="0" applyFont="1" applyBorder="1" applyAlignment="1">
      <alignment vertical="center" wrapText="1"/>
    </xf>
    <xf numFmtId="0" fontId="4" fillId="0" borderId="1" xfId="0" quotePrefix="1" applyNumberFormat="1" applyFont="1" applyFill="1" applyBorder="1" applyAlignment="1" applyProtection="1">
      <alignment horizontal="left" vertical="top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0" xfId="0" quotePrefix="1" applyNumberFormat="1" applyFont="1" applyFill="1" applyBorder="1" applyAlignment="1" applyProtection="1">
      <alignment horizontal="left" vertical="top"/>
    </xf>
    <xf numFmtId="168" fontId="6" fillId="0" borderId="0" xfId="0" applyNumberFormat="1" applyFont="1" applyFill="1" applyBorder="1" applyAlignment="1" applyProtection="1">
      <alignment horizontal="right"/>
    </xf>
    <xf numFmtId="166" fontId="4" fillId="0" borderId="0" xfId="0" quotePrefix="1" applyNumberFormat="1" applyFont="1" applyFill="1" applyBorder="1" applyAlignment="1" applyProtection="1">
      <alignment horizontal="right"/>
    </xf>
    <xf numFmtId="165" fontId="5" fillId="0" borderId="1" xfId="1" applyNumberFormat="1" applyFont="1" applyBorder="1" applyAlignment="1">
      <alignment vertical="top"/>
    </xf>
    <xf numFmtId="165" fontId="4" fillId="0" borderId="1" xfId="1" quotePrefix="1" applyNumberFormat="1" applyFont="1" applyFill="1" applyBorder="1" applyAlignment="1" applyProtection="1">
      <alignment horizontal="right" vertical="top"/>
    </xf>
    <xf numFmtId="0" fontId="9" fillId="0" borderId="7" xfId="0" applyFont="1" applyBorder="1" applyAlignment="1">
      <alignment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Font="1" applyFill="1" applyBorder="1" applyAlignment="1" applyProtection="1"/>
    <xf numFmtId="0" fontId="18" fillId="0" borderId="9" xfId="0" applyFont="1" applyFill="1" applyBorder="1" applyAlignment="1" applyProtection="1"/>
    <xf numFmtId="0" fontId="18" fillId="0" borderId="10" xfId="0" applyNumberFormat="1" applyFont="1" applyFill="1" applyBorder="1" applyAlignment="1" applyProtection="1"/>
    <xf numFmtId="168" fontId="6" fillId="5" borderId="1" xfId="0" applyNumberFormat="1" applyFont="1" applyFill="1" applyBorder="1" applyAlignment="1" applyProtection="1">
      <alignment horizontal="right"/>
    </xf>
    <xf numFmtId="43" fontId="6" fillId="0" borderId="1" xfId="1" quotePrefix="1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/>
    <xf numFmtId="166" fontId="14" fillId="0" borderId="0" xfId="0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/>
    <xf numFmtId="0" fontId="4" fillId="0" borderId="1" xfId="0" quotePrefix="1" applyNumberFormat="1" applyFont="1" applyFill="1" applyBorder="1" applyAlignment="1" applyProtection="1">
      <alignment horizontal="right"/>
    </xf>
    <xf numFmtId="43" fontId="4" fillId="0" borderId="1" xfId="1" quotePrefix="1" applyNumberFormat="1" applyFont="1" applyFill="1" applyBorder="1" applyAlignment="1" applyProtection="1">
      <alignment horizontal="right"/>
    </xf>
    <xf numFmtId="10" fontId="4" fillId="0" borderId="1" xfId="0" quotePrefix="1" applyNumberFormat="1" applyFont="1" applyFill="1" applyBorder="1" applyAlignment="1" applyProtection="1">
      <alignment horizontal="right"/>
    </xf>
    <xf numFmtId="43" fontId="4" fillId="0" borderId="3" xfId="1" quotePrefix="1" applyNumberFormat="1" applyFont="1" applyFill="1" applyBorder="1" applyAlignment="1" applyProtection="1">
      <alignment horizontal="right"/>
    </xf>
    <xf numFmtId="0" fontId="17" fillId="2" borderId="1" xfId="0" quotePrefix="1" applyNumberFormat="1" applyFont="1" applyFill="1" applyBorder="1" applyAlignment="1" applyProtection="1">
      <alignment horizontal="left" vertical="top" wrapText="1"/>
    </xf>
    <xf numFmtId="0" fontId="3" fillId="2" borderId="1" xfId="0" quotePrefix="1" applyNumberFormat="1" applyFont="1" applyFill="1" applyBorder="1" applyAlignment="1" applyProtection="1">
      <alignment horizontal="center"/>
    </xf>
    <xf numFmtId="168" fontId="3" fillId="2" borderId="1" xfId="0" quotePrefix="1" applyNumberFormat="1" applyFont="1" applyFill="1" applyBorder="1" applyAlignment="1" applyProtection="1">
      <alignment horizontal="center"/>
    </xf>
    <xf numFmtId="166" fontId="3" fillId="2" borderId="1" xfId="0" quotePrefix="1" applyNumberFormat="1" applyFont="1" applyFill="1" applyBorder="1" applyAlignment="1" applyProtection="1">
      <alignment horizontal="center"/>
    </xf>
    <xf numFmtId="43" fontId="6" fillId="5" borderId="1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center"/>
    </xf>
    <xf numFmtId="0" fontId="4" fillId="0" borderId="1" xfId="0" quotePrefix="1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top"/>
    </xf>
    <xf numFmtId="164" fontId="0" fillId="0" borderId="0" xfId="0" applyNumberFormat="1" applyAlignment="1">
      <alignment vertical="top"/>
    </xf>
    <xf numFmtId="0" fontId="2" fillId="0" borderId="0" xfId="0" applyFont="1" applyBorder="1" applyAlignment="1">
      <alignment vertical="center" wrapText="1"/>
    </xf>
    <xf numFmtId="0" fontId="4" fillId="0" borderId="1" xfId="0" quotePrefix="1" applyNumberFormat="1" applyFont="1" applyFill="1" applyBorder="1" applyAlignment="1" applyProtection="1">
      <alignment horizontal="left"/>
    </xf>
    <xf numFmtId="0" fontId="0" fillId="0" borderId="0" xfId="0" applyFont="1"/>
    <xf numFmtId="167" fontId="12" fillId="3" borderId="11" xfId="0" applyNumberFormat="1" applyFont="1" applyFill="1" applyBorder="1" applyAlignment="1">
      <alignment horizontal="right" vertical="center" wrapText="1"/>
    </xf>
    <xf numFmtId="0" fontId="10" fillId="3" borderId="13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43" fontId="13" fillId="3" borderId="14" xfId="0" applyNumberFormat="1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2" fontId="15" fillId="10" borderId="7" xfId="0" applyNumberFormat="1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167" fontId="9" fillId="4" borderId="7" xfId="0" applyNumberFormat="1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27" fillId="9" borderId="13" xfId="0" applyFont="1" applyFill="1" applyBorder="1" applyAlignment="1">
      <alignment vertical="center" wrapText="1"/>
    </xf>
    <xf numFmtId="165" fontId="0" fillId="0" borderId="0" xfId="0" applyNumberFormat="1" applyFill="1"/>
    <xf numFmtId="0" fontId="9" fillId="0" borderId="0" xfId="0" applyFont="1" applyBorder="1" applyAlignment="1">
      <alignment vertical="center" wrapText="1"/>
    </xf>
    <xf numFmtId="2" fontId="15" fillId="0" borderId="0" xfId="0" applyNumberFormat="1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65" fontId="5" fillId="0" borderId="16" xfId="0" applyNumberFormat="1" applyFont="1" applyBorder="1" applyAlignment="1">
      <alignment vertical="top"/>
    </xf>
    <xf numFmtId="0" fontId="26" fillId="0" borderId="0" xfId="0" applyFont="1" applyFill="1" applyBorder="1" applyAlignment="1">
      <alignment vertical="center" wrapText="1"/>
    </xf>
    <xf numFmtId="168" fontId="6" fillId="5" borderId="20" xfId="0" applyNumberFormat="1" applyFont="1" applyFill="1" applyBorder="1" applyAlignment="1" applyProtection="1">
      <alignment horizontal="right"/>
    </xf>
    <xf numFmtId="43" fontId="6" fillId="0" borderId="20" xfId="1" quotePrefix="1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28" fillId="7" borderId="4" xfId="0" applyFont="1" applyFill="1" applyBorder="1" applyAlignment="1" applyProtection="1">
      <alignment horizontal="right" vertical="center" wrapText="1"/>
    </xf>
    <xf numFmtId="0" fontId="29" fillId="7" borderId="4" xfId="0" applyFont="1" applyFill="1" applyBorder="1" applyAlignment="1" applyProtection="1">
      <alignment vertical="center" wrapText="1"/>
    </xf>
    <xf numFmtId="0" fontId="29" fillId="8" borderId="4" xfId="0" applyFont="1" applyFill="1" applyBorder="1" applyAlignment="1" applyProtection="1"/>
    <xf numFmtId="0" fontId="28" fillId="6" borderId="4" xfId="0" applyFont="1" applyFill="1" applyBorder="1" applyAlignment="1" applyProtection="1">
      <alignment horizontal="right" vertical="center" wrapText="1"/>
    </xf>
    <xf numFmtId="0" fontId="28" fillId="6" borderId="4" xfId="0" applyFont="1" applyFill="1" applyBorder="1" applyAlignment="1" applyProtection="1">
      <alignment vertical="center" wrapText="1"/>
    </xf>
    <xf numFmtId="0" fontId="28" fillId="6" borderId="4" xfId="0" applyFont="1" applyFill="1" applyBorder="1" applyAlignment="1" applyProtection="1">
      <alignment wrapText="1"/>
    </xf>
    <xf numFmtId="2" fontId="28" fillId="6" borderId="4" xfId="0" applyNumberFormat="1" applyFont="1" applyFill="1" applyBorder="1" applyAlignment="1" applyProtection="1">
      <alignment wrapText="1"/>
    </xf>
    <xf numFmtId="0" fontId="30" fillId="6" borderId="4" xfId="0" applyFont="1" applyFill="1" applyBorder="1"/>
    <xf numFmtId="0" fontId="30" fillId="6" borderId="12" xfId="0" applyFont="1" applyFill="1" applyBorder="1"/>
    <xf numFmtId="0" fontId="0" fillId="6" borderId="1" xfId="0" applyFont="1" applyFill="1" applyBorder="1"/>
    <xf numFmtId="0" fontId="28" fillId="0" borderId="4" xfId="0" applyFont="1" applyFill="1" applyBorder="1" applyAlignment="1" applyProtection="1">
      <alignment vertical="center" wrapText="1"/>
    </xf>
    <xf numFmtId="0" fontId="29" fillId="7" borderId="4" xfId="0" applyFont="1" applyFill="1" applyBorder="1" applyAlignment="1" applyProtection="1">
      <alignment horizontal="right" vertical="center" wrapText="1"/>
    </xf>
    <xf numFmtId="0" fontId="29" fillId="7" borderId="12" xfId="0" applyFont="1" applyFill="1" applyBorder="1" applyAlignment="1" applyProtection="1">
      <alignment vertical="center" wrapText="1"/>
    </xf>
    <xf numFmtId="0" fontId="0" fillId="6" borderId="1" xfId="0" applyFont="1" applyFill="1" applyBorder="1" applyAlignment="1">
      <alignment wrapText="1"/>
    </xf>
    <xf numFmtId="2" fontId="0" fillId="6" borderId="1" xfId="0" applyNumberFormat="1" applyFont="1" applyFill="1" applyBorder="1"/>
    <xf numFmtId="0" fontId="0" fillId="0" borderId="0" xfId="0" applyFill="1" applyAlignment="1">
      <alignment vertical="top"/>
    </xf>
    <xf numFmtId="165" fontId="0" fillId="0" borderId="0" xfId="0" applyNumberFormat="1" applyFill="1" applyAlignment="1">
      <alignment vertical="top"/>
    </xf>
    <xf numFmtId="2" fontId="12" fillId="3" borderId="11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43" fontId="6" fillId="0" borderId="0" xfId="1" quotePrefix="1" applyNumberFormat="1" applyFont="1" applyFill="1" applyBorder="1" applyAlignment="1" applyProtection="1">
      <alignment horizontal="right"/>
    </xf>
    <xf numFmtId="0" fontId="5" fillId="0" borderId="0" xfId="0" applyFont="1" applyFill="1" applyBorder="1"/>
    <xf numFmtId="0" fontId="32" fillId="0" borderId="18" xfId="2" applyNumberFormat="1" applyFont="1" applyFill="1" applyBorder="1" applyAlignment="1" applyProtection="1">
      <alignment horizontal="left"/>
    </xf>
    <xf numFmtId="2" fontId="32" fillId="0" borderId="4" xfId="2" applyNumberFormat="1" applyFont="1" applyFill="1" applyBorder="1" applyAlignment="1" applyProtection="1"/>
    <xf numFmtId="0" fontId="31" fillId="0" borderId="4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1" fontId="31" fillId="0" borderId="4" xfId="0" applyNumberFormat="1" applyFont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1" fontId="33" fillId="0" borderId="0" xfId="0" applyNumberFormat="1" applyFont="1" applyFill="1" applyBorder="1" applyAlignment="1">
      <alignment vertical="center" wrapText="1"/>
    </xf>
    <xf numFmtId="166" fontId="32" fillId="0" borderId="23" xfId="3" applyNumberFormat="1" applyFont="1" applyFill="1" applyBorder="1" applyAlignment="1" applyProtection="1">
      <alignment horizontal="right"/>
    </xf>
    <xf numFmtId="3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vertical="center" wrapText="1"/>
    </xf>
    <xf numFmtId="2" fontId="28" fillId="6" borderId="4" xfId="0" applyNumberFormat="1" applyFont="1" applyFill="1" applyBorder="1" applyAlignment="1" applyProtection="1">
      <alignment horizontal="right" vertical="center" wrapText="1"/>
    </xf>
    <xf numFmtId="2" fontId="28" fillId="6" borderId="4" xfId="0" applyNumberFormat="1" applyFont="1" applyFill="1" applyBorder="1" applyAlignment="1" applyProtection="1">
      <alignment vertical="center" wrapText="1"/>
    </xf>
    <xf numFmtId="0" fontId="28" fillId="6" borderId="4" xfId="0" applyFont="1" applyFill="1" applyBorder="1" applyAlignment="1" applyProtection="1">
      <alignment horizontal="center" wrapText="1"/>
    </xf>
    <xf numFmtId="0" fontId="34" fillId="0" borderId="0" xfId="0" applyNumberFormat="1" applyFont="1" applyFill="1" applyBorder="1" applyAlignment="1" applyProtection="1"/>
    <xf numFmtId="0" fontId="34" fillId="0" borderId="9" xfId="0" applyNumberFormat="1" applyFont="1" applyFill="1" applyBorder="1" applyAlignment="1" applyProtection="1"/>
    <xf numFmtId="0" fontId="9" fillId="0" borderId="24" xfId="0" applyFont="1" applyBorder="1" applyAlignment="1">
      <alignment wrapText="1"/>
    </xf>
    <xf numFmtId="167" fontId="9" fillId="0" borderId="4" xfId="0" applyNumberFormat="1" applyFont="1" applyBorder="1" applyAlignment="1">
      <alignment wrapText="1"/>
    </xf>
    <xf numFmtId="1" fontId="9" fillId="0" borderId="4" xfId="0" applyNumberFormat="1" applyFont="1" applyBorder="1" applyAlignment="1">
      <alignment wrapText="1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 applyAlignment="1">
      <alignment wrapText="1"/>
    </xf>
    <xf numFmtId="1" fontId="9" fillId="0" borderId="5" xfId="0" applyNumberFormat="1" applyFont="1" applyBorder="1" applyAlignment="1">
      <alignment wrapText="1"/>
    </xf>
    <xf numFmtId="0" fontId="9" fillId="0" borderId="27" xfId="0" applyFont="1" applyBorder="1" applyAlignment="1">
      <alignment vertical="center" wrapText="1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vertical="center" wrapText="1"/>
    </xf>
    <xf numFmtId="43" fontId="15" fillId="10" borderId="7" xfId="1" applyFont="1" applyFill="1" applyBorder="1" applyAlignment="1">
      <alignment vertical="center" wrapText="1"/>
    </xf>
    <xf numFmtId="165" fontId="5" fillId="0" borderId="16" xfId="1" applyNumberFormat="1" applyFont="1" applyBorder="1" applyAlignment="1">
      <alignment vertical="top"/>
    </xf>
    <xf numFmtId="2" fontId="9" fillId="0" borderId="4" xfId="0" applyNumberFormat="1" applyFont="1" applyBorder="1" applyAlignment="1">
      <alignment wrapText="1"/>
    </xf>
    <xf numFmtId="171" fontId="9" fillId="0" borderId="4" xfId="0" applyNumberFormat="1" applyFont="1" applyBorder="1" applyAlignment="1">
      <alignment wrapText="1"/>
    </xf>
    <xf numFmtId="172" fontId="9" fillId="0" borderId="4" xfId="0" applyNumberFormat="1" applyFont="1" applyBorder="1" applyAlignment="1">
      <alignment wrapText="1"/>
    </xf>
    <xf numFmtId="167" fontId="9" fillId="4" borderId="8" xfId="0" applyNumberFormat="1" applyFont="1" applyFill="1" applyBorder="1" applyAlignment="1">
      <alignment vertical="center" wrapText="1"/>
    </xf>
    <xf numFmtId="166" fontId="9" fillId="4" borderId="7" xfId="0" applyNumberFormat="1" applyFont="1" applyFill="1" applyBorder="1" applyAlignment="1">
      <alignment vertical="center" wrapText="1"/>
    </xf>
    <xf numFmtId="166" fontId="9" fillId="4" borderId="8" xfId="0" applyNumberFormat="1" applyFont="1" applyFill="1" applyBorder="1" applyAlignment="1">
      <alignment vertical="center" wrapText="1"/>
    </xf>
    <xf numFmtId="165" fontId="32" fillId="0" borderId="23" xfId="3" applyNumberFormat="1" applyFont="1" applyFill="1" applyBorder="1" applyAlignment="1" applyProtection="1">
      <alignment horizontal="right"/>
    </xf>
    <xf numFmtId="169" fontId="9" fillId="4" borderId="8" xfId="0" applyNumberFormat="1" applyFont="1" applyFill="1" applyBorder="1" applyAlignment="1">
      <alignment vertical="center" wrapText="1"/>
    </xf>
    <xf numFmtId="166" fontId="9" fillId="0" borderId="0" xfId="0" applyNumberFormat="1" applyFont="1" applyFill="1" applyBorder="1" applyAlignment="1">
      <alignment vertical="center" wrapText="1"/>
    </xf>
    <xf numFmtId="169" fontId="9" fillId="0" borderId="0" xfId="0" applyNumberFormat="1" applyFont="1" applyFill="1" applyBorder="1" applyAlignment="1">
      <alignment vertical="center" wrapText="1"/>
    </xf>
    <xf numFmtId="2" fontId="28" fillId="0" borderId="4" xfId="0" applyNumberFormat="1" applyFont="1" applyFill="1" applyBorder="1" applyAlignment="1" applyProtection="1">
      <alignment vertical="center" wrapText="1"/>
    </xf>
    <xf numFmtId="0" fontId="28" fillId="0" borderId="12" xfId="0" applyFont="1" applyFill="1" applyBorder="1" applyAlignment="1" applyProtection="1">
      <alignment vertical="center" wrapText="1"/>
    </xf>
    <xf numFmtId="0" fontId="5" fillId="0" borderId="16" xfId="2" applyFont="1" applyFill="1" applyBorder="1" applyAlignment="1">
      <alignment vertical="center"/>
    </xf>
    <xf numFmtId="0" fontId="28" fillId="6" borderId="4" xfId="0" applyFont="1" applyFill="1" applyBorder="1" applyAlignment="1" applyProtection="1">
      <alignment horizontal="left" wrapText="1"/>
    </xf>
    <xf numFmtId="2" fontId="28" fillId="6" borderId="4" xfId="0" applyNumberFormat="1" applyFont="1" applyFill="1" applyBorder="1" applyAlignment="1" applyProtection="1">
      <alignment horizontal="center" vertical="center" wrapText="1"/>
    </xf>
    <xf numFmtId="0" fontId="5" fillId="0" borderId="16" xfId="2" applyFont="1" applyBorder="1" applyAlignment="1">
      <alignment vertical="center" wrapText="1"/>
    </xf>
    <xf numFmtId="0" fontId="5" fillId="0" borderId="16" xfId="2" applyFont="1" applyBorder="1" applyAlignment="1">
      <alignment horizontal="center" vertical="center"/>
    </xf>
    <xf numFmtId="0" fontId="5" fillId="0" borderId="22" xfId="2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0" fillId="11" borderId="0" xfId="0" applyFill="1" applyBorder="1"/>
    <xf numFmtId="0" fontId="32" fillId="11" borderId="18" xfId="2" applyNumberFormat="1" applyFont="1" applyFill="1" applyBorder="1" applyAlignment="1" applyProtection="1">
      <alignment horizontal="left"/>
    </xf>
    <xf numFmtId="2" fontId="32" fillId="11" borderId="4" xfId="2" applyNumberFormat="1" applyFont="1" applyFill="1" applyBorder="1" applyAlignment="1" applyProtection="1"/>
    <xf numFmtId="2" fontId="9" fillId="11" borderId="4" xfId="0" applyNumberFormat="1" applyFont="1" applyFill="1" applyBorder="1" applyAlignment="1">
      <alignment wrapText="1"/>
    </xf>
    <xf numFmtId="0" fontId="0" fillId="11" borderId="0" xfId="0" applyFill="1"/>
    <xf numFmtId="0" fontId="4" fillId="0" borderId="16" xfId="0" quotePrefix="1" applyNumberFormat="1" applyFont="1" applyFill="1" applyBorder="1" applyAlignment="1" applyProtection="1">
      <alignment horizontal="center"/>
    </xf>
    <xf numFmtId="0" fontId="8" fillId="0" borderId="16" xfId="0" applyFont="1" applyBorder="1" applyAlignment="1">
      <alignment horizontal="left" vertical="top" wrapText="1"/>
    </xf>
    <xf numFmtId="0" fontId="4" fillId="0" borderId="16" xfId="0" quotePrefix="1" applyNumberFormat="1" applyFont="1" applyFill="1" applyBorder="1" applyAlignment="1" applyProtection="1">
      <alignment horizontal="left"/>
    </xf>
    <xf numFmtId="44" fontId="15" fillId="10" borderId="7" xfId="6" applyFont="1" applyFill="1" applyBorder="1" applyAlignment="1">
      <alignment vertical="center" wrapText="1"/>
    </xf>
    <xf numFmtId="44" fontId="9" fillId="0" borderId="4" xfId="6" applyFont="1" applyBorder="1" applyAlignment="1">
      <alignment wrapText="1"/>
    </xf>
    <xf numFmtId="44" fontId="31" fillId="0" borderId="4" xfId="6" applyFont="1" applyBorder="1" applyAlignment="1">
      <alignment vertical="center" wrapText="1"/>
    </xf>
    <xf numFmtId="44" fontId="31" fillId="0" borderId="19" xfId="6" applyFont="1" applyBorder="1" applyAlignment="1">
      <alignment vertical="center" wrapText="1"/>
    </xf>
    <xf numFmtId="44" fontId="32" fillId="0" borderId="23" xfId="6" applyFont="1" applyFill="1" applyBorder="1" applyAlignment="1" applyProtection="1">
      <alignment horizontal="right"/>
    </xf>
    <xf numFmtId="44" fontId="9" fillId="11" borderId="4" xfId="6" applyFont="1" applyFill="1" applyBorder="1" applyAlignment="1">
      <alignment wrapText="1"/>
    </xf>
    <xf numFmtId="44" fontId="31" fillId="11" borderId="4" xfId="6" applyFont="1" applyFill="1" applyBorder="1" applyAlignment="1">
      <alignment vertical="center" wrapText="1"/>
    </xf>
    <xf numFmtId="44" fontId="31" fillId="11" borderId="19" xfId="6" applyFont="1" applyFill="1" applyBorder="1" applyAlignment="1">
      <alignment vertical="center" wrapText="1"/>
    </xf>
    <xf numFmtId="44" fontId="9" fillId="4" borderId="7" xfId="6" applyFont="1" applyFill="1" applyBorder="1" applyAlignment="1">
      <alignment vertical="center" wrapText="1"/>
    </xf>
    <xf numFmtId="44" fontId="9" fillId="4" borderId="8" xfId="6" applyFont="1" applyFill="1" applyBorder="1" applyAlignment="1">
      <alignment vertical="center" wrapText="1"/>
    </xf>
    <xf numFmtId="2" fontId="5" fillId="0" borderId="16" xfId="2" applyNumberFormat="1" applyFont="1" applyBorder="1" applyAlignment="1">
      <alignment vertical="center" wrapText="1"/>
    </xf>
    <xf numFmtId="0" fontId="29" fillId="8" borderId="28" xfId="0" applyFont="1" applyFill="1" applyBorder="1" applyAlignment="1" applyProtection="1"/>
    <xf numFmtId="0" fontId="0" fillId="6" borderId="16" xfId="0" applyFont="1" applyFill="1" applyBorder="1" applyAlignment="1">
      <alignment horizontal="right"/>
    </xf>
    <xf numFmtId="0" fontId="28" fillId="0" borderId="29" xfId="0" applyFont="1" applyFill="1" applyBorder="1" applyAlignment="1" applyProtection="1">
      <alignment vertical="center" wrapText="1"/>
    </xf>
    <xf numFmtId="0" fontId="29" fillId="7" borderId="30" xfId="0" applyFont="1" applyFill="1" applyBorder="1" applyAlignment="1" applyProtection="1">
      <alignment horizontal="right" vertical="center" wrapText="1"/>
    </xf>
    <xf numFmtId="0" fontId="30" fillId="6" borderId="29" xfId="0" applyFont="1" applyFill="1" applyBorder="1" applyAlignment="1">
      <alignment horizontal="right"/>
    </xf>
    <xf numFmtId="0" fontId="28" fillId="0" borderId="30" xfId="0" applyFont="1" applyFill="1" applyBorder="1" applyAlignment="1" applyProtection="1">
      <alignment vertical="center" wrapText="1"/>
    </xf>
    <xf numFmtId="0" fontId="20" fillId="0" borderId="1" xfId="0" quotePrefix="1" applyNumberFormat="1" applyFont="1" applyFill="1" applyBorder="1" applyAlignment="1" applyProtection="1">
      <alignment horizontal="left" vertical="center"/>
    </xf>
    <xf numFmtId="0" fontId="22" fillId="0" borderId="11" xfId="0" quotePrefix="1" applyNumberFormat="1" applyFont="1" applyFill="1" applyBorder="1" applyAlignment="1" applyProtection="1">
      <alignment horizontal="left" vertical="center"/>
    </xf>
    <xf numFmtId="0" fontId="22" fillId="0" borderId="21" xfId="0" quotePrefix="1" applyNumberFormat="1" applyFont="1" applyFill="1" applyBorder="1" applyAlignment="1" applyProtection="1">
      <alignment horizontal="left" vertical="center"/>
    </xf>
    <xf numFmtId="0" fontId="22" fillId="0" borderId="22" xfId="0" quotePrefix="1" applyNumberFormat="1" applyFont="1" applyFill="1" applyBorder="1" applyAlignment="1" applyProtection="1">
      <alignment horizontal="left" vertical="center"/>
    </xf>
    <xf numFmtId="0" fontId="22" fillId="0" borderId="1" xfId="0" quotePrefix="1" applyNumberFormat="1" applyFont="1" applyFill="1" applyBorder="1" applyAlignment="1" applyProtection="1">
      <alignment horizontal="left" vertical="center"/>
    </xf>
    <xf numFmtId="0" fontId="17" fillId="0" borderId="11" xfId="0" quotePrefix="1" applyNumberFormat="1" applyFont="1" applyFill="1" applyBorder="1" applyAlignment="1" applyProtection="1">
      <alignment horizontal="left" vertical="top"/>
    </xf>
    <xf numFmtId="0" fontId="17" fillId="0" borderId="21" xfId="0" quotePrefix="1" applyNumberFormat="1" applyFont="1" applyFill="1" applyBorder="1" applyAlignment="1" applyProtection="1">
      <alignment horizontal="left" vertical="top"/>
    </xf>
    <xf numFmtId="0" fontId="17" fillId="0" borderId="22" xfId="0" quotePrefix="1" applyNumberFormat="1" applyFont="1" applyFill="1" applyBorder="1" applyAlignment="1" applyProtection="1">
      <alignment horizontal="left" vertical="top"/>
    </xf>
    <xf numFmtId="0" fontId="23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center" wrapText="1"/>
    </xf>
    <xf numFmtId="0" fontId="16" fillId="0" borderId="6" xfId="0" applyFont="1" applyBorder="1" applyAlignment="1">
      <alignment horizontal="center"/>
    </xf>
  </cellXfs>
  <cellStyles count="7">
    <cellStyle name="% 2" xfId="4"/>
    <cellStyle name="Excel Built-in Normal" xfId="3"/>
    <cellStyle name="Millares" xfId="1" builtinId="3"/>
    <cellStyle name="Millares 2" xfId="5"/>
    <cellStyle name="Moneda" xfId="6" builtinId="4"/>
    <cellStyle name="Normal" xfId="0" builtinId="0"/>
    <cellStyle name="Normal 2" xfId="2"/>
  </cellStyles>
  <dxfs count="0"/>
  <tableStyles count="0" defaultTableStyle="TableStyleMedium2" defaultPivotStyle="PivotStyleMedium9"/>
  <colors>
    <mruColors>
      <color rgb="FFFFF3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view="pageBreakPreview" topLeftCell="A50" zoomScaleNormal="100" zoomScaleSheetLayoutView="100" workbookViewId="0">
      <selection activeCell="E59" sqref="E59"/>
    </sheetView>
  </sheetViews>
  <sheetFormatPr baseColWidth="10" defaultRowHeight="15" x14ac:dyDescent="0.25"/>
  <cols>
    <col min="1" max="1" width="6.42578125" style="1" bestFit="1" customWidth="1"/>
    <col min="2" max="2" width="47.7109375" style="3" customWidth="1"/>
    <col min="3" max="3" width="9" style="1" bestFit="1" customWidth="1"/>
    <col min="4" max="4" width="11.7109375" style="1" bestFit="1" customWidth="1"/>
    <col min="5" max="5" width="14.42578125" style="1" customWidth="1"/>
    <col min="6" max="6" width="15.85546875" style="1" bestFit="1" customWidth="1"/>
    <col min="7" max="7" width="16" style="1" customWidth="1"/>
    <col min="8" max="10" width="14.140625" style="1" bestFit="1" customWidth="1"/>
    <col min="11" max="11" width="11.42578125" style="1"/>
    <col min="12" max="12" width="14.140625" style="1" bestFit="1" customWidth="1"/>
    <col min="13" max="13" width="13.140625" style="1" bestFit="1" customWidth="1"/>
    <col min="14" max="16384" width="11.42578125" style="1"/>
  </cols>
  <sheetData>
    <row r="1" spans="1:8" hidden="1" x14ac:dyDescent="0.25">
      <c r="B1" s="2" t="s">
        <v>2</v>
      </c>
    </row>
    <row r="2" spans="1:8" ht="13.5" customHeight="1" x14ac:dyDescent="0.2">
      <c r="A2" s="21"/>
      <c r="B2" s="169" t="s">
        <v>28</v>
      </c>
      <c r="C2" s="169"/>
      <c r="D2" s="169"/>
      <c r="E2" s="21"/>
      <c r="F2" s="21"/>
      <c r="G2" s="21"/>
    </row>
    <row r="3" spans="1:8" ht="28.5" customHeight="1" x14ac:dyDescent="0.2">
      <c r="A3" s="21"/>
      <c r="B3" s="171" t="s">
        <v>245</v>
      </c>
      <c r="C3" s="171"/>
      <c r="D3" s="171"/>
      <c r="E3" s="171"/>
      <c r="F3" s="171"/>
      <c r="G3" s="21"/>
    </row>
    <row r="4" spans="1:8" ht="13.5" customHeight="1" x14ac:dyDescent="0.2">
      <c r="A4" s="21"/>
      <c r="B4" s="170" t="s">
        <v>29</v>
      </c>
      <c r="C4" s="170"/>
      <c r="D4" s="170"/>
      <c r="E4" s="21"/>
      <c r="F4" s="21"/>
      <c r="G4" s="21"/>
    </row>
    <row r="5" spans="1:8" ht="13.5" customHeight="1" x14ac:dyDescent="0.2">
      <c r="A5" s="21"/>
      <c r="B5" s="170" t="s">
        <v>39</v>
      </c>
      <c r="C5" s="170"/>
      <c r="D5" s="170"/>
      <c r="E5" s="21"/>
      <c r="F5" s="21"/>
      <c r="G5" s="21"/>
    </row>
    <row r="7" spans="1:8" x14ac:dyDescent="0.25">
      <c r="A7" s="13">
        <v>1</v>
      </c>
      <c r="B7" s="33" t="s">
        <v>45</v>
      </c>
      <c r="C7" s="34" t="s">
        <v>3</v>
      </c>
      <c r="D7" s="34" t="s">
        <v>4</v>
      </c>
      <c r="E7" s="34" t="s">
        <v>5</v>
      </c>
      <c r="F7" s="34" t="s">
        <v>6</v>
      </c>
      <c r="G7" s="4"/>
    </row>
    <row r="8" spans="1:8" s="82" customFormat="1" x14ac:dyDescent="0.2">
      <c r="A8" s="12" t="s">
        <v>46</v>
      </c>
      <c r="B8" s="9" t="s">
        <v>222</v>
      </c>
      <c r="C8" s="44" t="s">
        <v>52</v>
      </c>
      <c r="D8" s="41">
        <f>ROUNDUP((CANTIDADES!D3),0)</f>
        <v>380</v>
      </c>
      <c r="E8" s="41">
        <f>APUS!E10</f>
        <v>2400</v>
      </c>
      <c r="F8" s="41">
        <f>E8*D8</f>
        <v>912000</v>
      </c>
      <c r="H8" s="83"/>
    </row>
    <row r="9" spans="1:8" s="82" customFormat="1" x14ac:dyDescent="0.2">
      <c r="A9" s="12" t="s">
        <v>47</v>
      </c>
      <c r="B9" s="9" t="s">
        <v>236</v>
      </c>
      <c r="C9" s="44" t="s">
        <v>53</v>
      </c>
      <c r="D9" s="41">
        <f>ROUNDUP((CANTIDADES!D6),0)</f>
        <v>1483</v>
      </c>
      <c r="E9" s="41">
        <f>ROUNDUP(APUS!E19,0)</f>
        <v>24590</v>
      </c>
      <c r="F9" s="41">
        <f t="shared" ref="F9:F14" si="0">E9*D9</f>
        <v>36466970</v>
      </c>
      <c r="H9" s="83"/>
    </row>
    <row r="10" spans="1:8" s="82" customFormat="1" ht="24" x14ac:dyDescent="0.2">
      <c r="A10" s="12" t="s">
        <v>48</v>
      </c>
      <c r="B10" s="9" t="s">
        <v>237</v>
      </c>
      <c r="C10" s="44" t="s">
        <v>53</v>
      </c>
      <c r="D10" s="41">
        <f>ROUNDUP(CANTIDADES!D22,0)</f>
        <v>69</v>
      </c>
      <c r="E10" s="41">
        <f>ROUNDUP(APUS!E30,0)</f>
        <v>20776</v>
      </c>
      <c r="F10" s="41">
        <f t="shared" si="0"/>
        <v>1433544</v>
      </c>
      <c r="H10" s="83"/>
    </row>
    <row r="11" spans="1:8" s="82" customFormat="1" ht="24" x14ac:dyDescent="0.2">
      <c r="A11" s="12" t="s">
        <v>49</v>
      </c>
      <c r="B11" s="9" t="s">
        <v>238</v>
      </c>
      <c r="C11" s="44" t="s">
        <v>53</v>
      </c>
      <c r="D11" s="41">
        <f>ROUNDUP(CANTIDADES!D27,0)</f>
        <v>64</v>
      </c>
      <c r="E11" s="41">
        <f>ROUNDUP(APUS!E41,0)</f>
        <v>25726</v>
      </c>
      <c r="F11" s="41">
        <f t="shared" si="0"/>
        <v>1646464</v>
      </c>
      <c r="H11" s="83"/>
    </row>
    <row r="12" spans="1:8" s="82" customFormat="1" x14ac:dyDescent="0.2">
      <c r="A12" s="12" t="s">
        <v>235</v>
      </c>
      <c r="B12" s="9" t="s">
        <v>239</v>
      </c>
      <c r="C12" s="44" t="s">
        <v>53</v>
      </c>
      <c r="D12" s="41">
        <f>ROUNDUP(CANTIDADES!D30,0)</f>
        <v>636</v>
      </c>
      <c r="E12" s="41">
        <f>ROUNDUP(APUS!E53,0)</f>
        <v>103577</v>
      </c>
      <c r="F12" s="41">
        <f t="shared" si="0"/>
        <v>65874972</v>
      </c>
      <c r="H12" s="83"/>
    </row>
    <row r="13" spans="1:8" s="82" customFormat="1" ht="24" x14ac:dyDescent="0.2">
      <c r="A13" s="12" t="s">
        <v>50</v>
      </c>
      <c r="B13" s="9" t="s">
        <v>54</v>
      </c>
      <c r="C13" s="44" t="s">
        <v>55</v>
      </c>
      <c r="D13" s="41">
        <f>ROUNDUP(CANTIDADES!D35,0)</f>
        <v>2716</v>
      </c>
      <c r="E13" s="41">
        <f>ROUNDUP(APUS!E60,0)</f>
        <v>14025</v>
      </c>
      <c r="F13" s="41">
        <f t="shared" si="0"/>
        <v>38091900</v>
      </c>
      <c r="H13" s="83"/>
    </row>
    <row r="14" spans="1:8" s="82" customFormat="1" x14ac:dyDescent="0.2">
      <c r="A14" s="12" t="s">
        <v>51</v>
      </c>
      <c r="B14" s="9" t="s">
        <v>229</v>
      </c>
      <c r="C14" s="44" t="s">
        <v>53</v>
      </c>
      <c r="D14" s="41">
        <f>ROUNDUP(CANTIDADES!D43,0)</f>
        <v>722</v>
      </c>
      <c r="E14" s="41">
        <f>ROUNDUP(APUS!E70,0)</f>
        <v>17395</v>
      </c>
      <c r="F14" s="41">
        <f t="shared" si="0"/>
        <v>12559190</v>
      </c>
      <c r="H14" s="83"/>
    </row>
    <row r="15" spans="1:8" s="82" customFormat="1" x14ac:dyDescent="0.2">
      <c r="A15" s="5"/>
      <c r="B15" s="6"/>
      <c r="C15" s="88"/>
      <c r="D15" s="8"/>
      <c r="E15" s="24" t="s">
        <v>7</v>
      </c>
      <c r="F15" s="25">
        <f>SUM(F8:F14)</f>
        <v>156985040</v>
      </c>
    </row>
    <row r="16" spans="1:8" ht="15.75" customHeight="1" x14ac:dyDescent="0.25"/>
    <row r="17" spans="1:7" x14ac:dyDescent="0.25">
      <c r="A17" s="13">
        <v>2</v>
      </c>
      <c r="B17" s="33" t="s">
        <v>61</v>
      </c>
      <c r="C17" s="34" t="s">
        <v>3</v>
      </c>
      <c r="D17" s="34" t="s">
        <v>4</v>
      </c>
      <c r="E17" s="34" t="s">
        <v>5</v>
      </c>
      <c r="F17" s="34" t="s">
        <v>6</v>
      </c>
      <c r="G17" s="4"/>
    </row>
    <row r="18" spans="1:7" ht="24" x14ac:dyDescent="0.25">
      <c r="A18" s="12" t="s">
        <v>56</v>
      </c>
      <c r="B18" s="9" t="s">
        <v>230</v>
      </c>
      <c r="C18" s="44" t="s">
        <v>53</v>
      </c>
      <c r="D18" s="41">
        <f>ROUNDUP(CANTIDADES!D56,0)</f>
        <v>14</v>
      </c>
      <c r="E18" s="62">
        <f>ROUNDUP(APUS!E81,0)</f>
        <v>58952</v>
      </c>
      <c r="F18" s="41">
        <f>E18*D18</f>
        <v>825328</v>
      </c>
      <c r="G18" s="57"/>
    </row>
    <row r="19" spans="1:7" ht="36" x14ac:dyDescent="0.25">
      <c r="A19" s="12" t="s">
        <v>57</v>
      </c>
      <c r="B19" s="9" t="s">
        <v>232</v>
      </c>
      <c r="C19" s="44" t="s">
        <v>53</v>
      </c>
      <c r="D19" s="41">
        <f>ROUNDUP(CANTIDADES!D63,0)</f>
        <v>114</v>
      </c>
      <c r="E19" s="62">
        <f>ROUNDUP(APUS!E93,0)</f>
        <v>62122</v>
      </c>
      <c r="F19" s="41">
        <f>E19*D19</f>
        <v>7081908</v>
      </c>
      <c r="G19" s="4"/>
    </row>
    <row r="20" spans="1:7" ht="24" x14ac:dyDescent="0.25">
      <c r="A20" s="12" t="s">
        <v>58</v>
      </c>
      <c r="B20" s="9" t="s">
        <v>231</v>
      </c>
      <c r="C20" s="44" t="s">
        <v>53</v>
      </c>
      <c r="D20" s="41">
        <f>ROUNDUP(CANTIDADES!D74,0)</f>
        <v>183</v>
      </c>
      <c r="E20" s="62">
        <f>ROUND(APUS!E104,0)</f>
        <v>47347</v>
      </c>
      <c r="F20" s="41">
        <f>E20*D20</f>
        <v>8664501</v>
      </c>
      <c r="G20" s="4"/>
    </row>
    <row r="21" spans="1:7" ht="24" x14ac:dyDescent="0.25">
      <c r="A21" s="12" t="s">
        <v>59</v>
      </c>
      <c r="B21" s="9" t="s">
        <v>233</v>
      </c>
      <c r="C21" s="44" t="s">
        <v>53</v>
      </c>
      <c r="D21" s="41">
        <f>ROUNDUP(CANTIDADES!D85,0)</f>
        <v>1529</v>
      </c>
      <c r="E21" s="62">
        <f>ROUNDUP(APUS!E114,0)</f>
        <v>14610</v>
      </c>
      <c r="F21" s="41">
        <f>E21*D21</f>
        <v>22338690</v>
      </c>
      <c r="G21" s="4"/>
    </row>
    <row r="22" spans="1:7" x14ac:dyDescent="0.25">
      <c r="A22" s="12" t="s">
        <v>60</v>
      </c>
      <c r="B22" s="9" t="s">
        <v>212</v>
      </c>
      <c r="C22" s="44" t="s">
        <v>53</v>
      </c>
      <c r="D22" s="41">
        <f>ROUNDUP(CANTIDADES!D97,0)</f>
        <v>270</v>
      </c>
      <c r="E22" s="62">
        <f>ROUNDUP(APUS!E125,0)</f>
        <v>44147</v>
      </c>
      <c r="F22" s="41">
        <f>E22*D22</f>
        <v>11919690</v>
      </c>
      <c r="G22" s="57"/>
    </row>
    <row r="23" spans="1:7" x14ac:dyDescent="0.25">
      <c r="A23" s="5"/>
      <c r="B23" s="6"/>
      <c r="C23" s="7"/>
      <c r="D23" s="8"/>
      <c r="E23" s="24" t="s">
        <v>7</v>
      </c>
      <c r="F23" s="25">
        <f>SUM(F18:F22)</f>
        <v>50830117</v>
      </c>
      <c r="G23" s="4"/>
    </row>
    <row r="24" spans="1:7" x14ac:dyDescent="0.25">
      <c r="A24" s="14"/>
      <c r="B24" s="6"/>
      <c r="C24" s="7"/>
      <c r="D24" s="8"/>
      <c r="E24" s="15"/>
      <c r="F24" s="16"/>
      <c r="G24" s="4"/>
    </row>
    <row r="25" spans="1:7" x14ac:dyDescent="0.25">
      <c r="A25" s="13">
        <v>3</v>
      </c>
      <c r="B25" s="33" t="s">
        <v>73</v>
      </c>
      <c r="C25" s="34" t="s">
        <v>3</v>
      </c>
      <c r="D25" s="34" t="s">
        <v>4</v>
      </c>
      <c r="E25" s="35" t="s">
        <v>5</v>
      </c>
      <c r="F25" s="36" t="s">
        <v>6</v>
      </c>
      <c r="G25" s="4"/>
    </row>
    <row r="26" spans="1:7" ht="24" x14ac:dyDescent="0.25">
      <c r="A26" s="39">
        <v>3.01</v>
      </c>
      <c r="B26" s="9" t="s">
        <v>213</v>
      </c>
      <c r="C26" s="44" t="s">
        <v>52</v>
      </c>
      <c r="D26" s="41">
        <f>ROUNDUP(CANTIDADES!D101,0)</f>
        <v>159</v>
      </c>
      <c r="E26" s="17">
        <f>ROUNDUP(APUS!E134,0)</f>
        <v>28549</v>
      </c>
      <c r="F26" s="18">
        <f>E26*D26</f>
        <v>4539291</v>
      </c>
      <c r="G26" s="57"/>
    </row>
    <row r="27" spans="1:7" ht="24" x14ac:dyDescent="0.25">
      <c r="A27" s="39">
        <v>3.02</v>
      </c>
      <c r="B27" s="9" t="s">
        <v>214</v>
      </c>
      <c r="C27" s="44" t="s">
        <v>52</v>
      </c>
      <c r="D27" s="41">
        <f>ROUNDUP(CANTIDADES!D107,0)</f>
        <v>204</v>
      </c>
      <c r="E27" s="17">
        <f>ROUNDUP(APUS!E142,0)</f>
        <v>36556</v>
      </c>
      <c r="F27" s="18">
        <f>E27*D27</f>
        <v>7457424</v>
      </c>
      <c r="G27" s="57"/>
    </row>
    <row r="28" spans="1:7" ht="24" x14ac:dyDescent="0.25">
      <c r="A28" s="39">
        <v>3.03</v>
      </c>
      <c r="B28" s="9" t="s">
        <v>215</v>
      </c>
      <c r="C28" s="44" t="s">
        <v>52</v>
      </c>
      <c r="D28" s="41">
        <f>ROUNDUP(CANTIDADES!D110,0)</f>
        <v>18</v>
      </c>
      <c r="E28" s="17">
        <f>ROUNDUP(APUS!E150,0)</f>
        <v>45427</v>
      </c>
      <c r="F28" s="18">
        <f>E28*D28</f>
        <v>817686</v>
      </c>
      <c r="G28" s="57"/>
    </row>
    <row r="29" spans="1:7" x14ac:dyDescent="0.25">
      <c r="A29" s="39">
        <v>3.04</v>
      </c>
      <c r="B29" s="9" t="s">
        <v>226</v>
      </c>
      <c r="C29" s="44" t="s">
        <v>65</v>
      </c>
      <c r="D29" s="41">
        <f>ROUNDUP(CANTIDADES!D115,0)</f>
        <v>1</v>
      </c>
      <c r="E29" s="41">
        <f>ROUNDUP(APUS!E156,0)</f>
        <v>14800</v>
      </c>
      <c r="F29" s="18">
        <f>E29*D29</f>
        <v>14800</v>
      </c>
      <c r="G29" s="4"/>
    </row>
    <row r="30" spans="1:7" s="82" customFormat="1" x14ac:dyDescent="0.25">
      <c r="A30" s="5"/>
      <c r="B30" s="6"/>
      <c r="C30" s="88"/>
      <c r="D30" s="8"/>
      <c r="E30" s="64" t="s">
        <v>7</v>
      </c>
      <c r="F30" s="65">
        <f>SUM(F26:F29)</f>
        <v>12829201</v>
      </c>
      <c r="G30" s="57"/>
    </row>
    <row r="31" spans="1:7" s="82" customFormat="1" x14ac:dyDescent="0.25">
      <c r="A31" s="5"/>
      <c r="B31" s="6"/>
      <c r="C31" s="88"/>
      <c r="D31" s="8"/>
      <c r="E31" s="15"/>
      <c r="F31" s="87"/>
      <c r="G31" s="57"/>
    </row>
    <row r="32" spans="1:7" s="82" customFormat="1" x14ac:dyDescent="0.25">
      <c r="A32" s="13">
        <v>4</v>
      </c>
      <c r="B32" s="33" t="s">
        <v>74</v>
      </c>
      <c r="C32" s="34" t="s">
        <v>3</v>
      </c>
      <c r="D32" s="34" t="s">
        <v>4</v>
      </c>
      <c r="E32" s="34" t="s">
        <v>5</v>
      </c>
      <c r="F32" s="34" t="s">
        <v>6</v>
      </c>
      <c r="G32" s="57"/>
    </row>
    <row r="33" spans="1:7" s="82" customFormat="1" ht="24" x14ac:dyDescent="0.25">
      <c r="A33" s="141" t="s">
        <v>216</v>
      </c>
      <c r="B33" s="142" t="s">
        <v>228</v>
      </c>
      <c r="C33" s="143" t="s">
        <v>65</v>
      </c>
      <c r="D33" s="41">
        <f>ROUNDUP(CANTIDADES!D119,0)</f>
        <v>5</v>
      </c>
      <c r="E33" s="17">
        <f>ROUNDUP((APUS!E175),0)</f>
        <v>3377165</v>
      </c>
      <c r="F33" s="18">
        <f>E33*D33</f>
        <v>16885825</v>
      </c>
      <c r="G33" s="57"/>
    </row>
    <row r="34" spans="1:7" s="82" customFormat="1" ht="24" x14ac:dyDescent="0.25">
      <c r="A34" s="141" t="s">
        <v>68</v>
      </c>
      <c r="B34" s="142" t="s">
        <v>227</v>
      </c>
      <c r="C34" s="143" t="s">
        <v>65</v>
      </c>
      <c r="D34" s="41">
        <f>ROUNDUP(CANTIDADES!D124,0)</f>
        <v>4</v>
      </c>
      <c r="E34" s="17">
        <f>ROUNDUP((APUS!E193),0)</f>
        <v>4818387</v>
      </c>
      <c r="F34" s="18">
        <f>E34*D34</f>
        <v>19273548</v>
      </c>
      <c r="G34" s="57"/>
    </row>
    <row r="35" spans="1:7" s="82" customFormat="1" ht="24" x14ac:dyDescent="0.25">
      <c r="A35" s="141" t="s">
        <v>66</v>
      </c>
      <c r="B35" s="142" t="s">
        <v>240</v>
      </c>
      <c r="C35" s="143" t="s">
        <v>65</v>
      </c>
      <c r="D35" s="41">
        <v>2</v>
      </c>
      <c r="E35" s="17">
        <f>ROUNDUP(APUS!E211,0)</f>
        <v>9163901</v>
      </c>
      <c r="F35" s="18">
        <f>E35*D35</f>
        <v>18327802</v>
      </c>
      <c r="G35" s="57"/>
    </row>
    <row r="36" spans="1:7" s="82" customFormat="1" x14ac:dyDescent="0.25">
      <c r="A36" s="5"/>
      <c r="B36" s="6"/>
      <c r="C36" s="88"/>
      <c r="D36" s="8"/>
      <c r="E36" s="24" t="s">
        <v>7</v>
      </c>
      <c r="F36" s="25">
        <f>SUM(F33:F35)</f>
        <v>54487175</v>
      </c>
      <c r="G36" s="57"/>
    </row>
    <row r="37" spans="1:7" s="82" customFormat="1" x14ac:dyDescent="0.25">
      <c r="A37" s="5"/>
      <c r="B37" s="6"/>
      <c r="C37" s="88"/>
      <c r="D37" s="8"/>
      <c r="E37" s="15"/>
      <c r="F37" s="87"/>
      <c r="G37" s="57"/>
    </row>
    <row r="38" spans="1:7" s="82" customFormat="1" x14ac:dyDescent="0.25">
      <c r="A38" s="13">
        <v>5</v>
      </c>
      <c r="B38" s="33" t="s">
        <v>75</v>
      </c>
      <c r="C38" s="34" t="s">
        <v>3</v>
      </c>
      <c r="D38" s="34" t="s">
        <v>4</v>
      </c>
      <c r="E38" s="34" t="s">
        <v>5</v>
      </c>
      <c r="F38" s="34" t="s">
        <v>6</v>
      </c>
      <c r="G38" s="57"/>
    </row>
    <row r="39" spans="1:7" s="82" customFormat="1" x14ac:dyDescent="0.25">
      <c r="A39" s="39" t="s">
        <v>69</v>
      </c>
      <c r="B39" s="9" t="s">
        <v>70</v>
      </c>
      <c r="C39" s="44" t="s">
        <v>71</v>
      </c>
      <c r="D39" s="41">
        <f>ROUNDUP(CANTIDADES!D132,0)</f>
        <v>1</v>
      </c>
      <c r="E39" s="17">
        <f>ROUNDUP(APUS!E221,0)</f>
        <v>126183</v>
      </c>
      <c r="F39" s="18">
        <f>E39*D39</f>
        <v>126183</v>
      </c>
      <c r="G39" s="57"/>
    </row>
    <row r="40" spans="1:7" s="82" customFormat="1" x14ac:dyDescent="0.25">
      <c r="A40" s="39" t="s">
        <v>72</v>
      </c>
      <c r="B40" s="9" t="s">
        <v>217</v>
      </c>
      <c r="C40" s="44" t="s">
        <v>71</v>
      </c>
      <c r="D40" s="41">
        <f>ROUNDUP(CANTIDADES!D135,0)</f>
        <v>1</v>
      </c>
      <c r="E40" s="17">
        <f>ROUNDUP(APUS!E228,0)</f>
        <v>47163</v>
      </c>
      <c r="F40" s="18">
        <f>E40*D40</f>
        <v>47163</v>
      </c>
      <c r="G40" s="57"/>
    </row>
    <row r="41" spans="1:7" s="82" customFormat="1" x14ac:dyDescent="0.25">
      <c r="A41" s="5"/>
      <c r="B41" s="6"/>
      <c r="C41" s="88"/>
      <c r="D41" s="8"/>
      <c r="E41" s="24" t="s">
        <v>7</v>
      </c>
      <c r="F41" s="25">
        <f>SUM(F39:F40)</f>
        <v>173346</v>
      </c>
      <c r="G41" s="57"/>
    </row>
    <row r="42" spans="1:7" s="82" customFormat="1" x14ac:dyDescent="0.25">
      <c r="A42" s="5"/>
      <c r="B42" s="6"/>
      <c r="C42" s="88"/>
      <c r="D42" s="8"/>
      <c r="E42" s="15"/>
      <c r="F42" s="87"/>
      <c r="G42" s="57"/>
    </row>
    <row r="43" spans="1:7" s="82" customFormat="1" x14ac:dyDescent="0.25">
      <c r="A43" s="13">
        <v>6</v>
      </c>
      <c r="B43" s="33" t="s">
        <v>31</v>
      </c>
      <c r="C43" s="34" t="s">
        <v>3</v>
      </c>
      <c r="D43" s="34" t="s">
        <v>4</v>
      </c>
      <c r="E43" s="34" t="s">
        <v>5</v>
      </c>
      <c r="F43" s="34" t="s">
        <v>6</v>
      </c>
      <c r="G43" s="57"/>
    </row>
    <row r="44" spans="1:7" s="82" customFormat="1" x14ac:dyDescent="0.25">
      <c r="A44" s="39" t="s">
        <v>76</v>
      </c>
      <c r="B44" s="9" t="s">
        <v>241</v>
      </c>
      <c r="C44" s="44" t="s">
        <v>52</v>
      </c>
      <c r="D44" s="41">
        <f>ROUNDUP(CANTIDADES!D139,0)</f>
        <v>836</v>
      </c>
      <c r="E44" s="17">
        <f>ROUNDUP(APUS!E239,0)</f>
        <v>12010</v>
      </c>
      <c r="F44" s="18">
        <f>+E44*D44</f>
        <v>10040360</v>
      </c>
      <c r="G44" s="57"/>
    </row>
    <row r="45" spans="1:7" s="82" customFormat="1" ht="24" x14ac:dyDescent="0.25">
      <c r="A45" s="39" t="s">
        <v>77</v>
      </c>
      <c r="B45" s="9" t="s">
        <v>78</v>
      </c>
      <c r="C45" s="44" t="s">
        <v>71</v>
      </c>
      <c r="D45" s="62">
        <f>ROUNDUP(CANTIDADES!D142,0)</f>
        <v>5</v>
      </c>
      <c r="E45" s="116">
        <f>ROUNDUP(APUS!E247,0)</f>
        <v>91399</v>
      </c>
      <c r="F45" s="18">
        <f>+E45*D45</f>
        <v>456995</v>
      </c>
      <c r="G45" s="57"/>
    </row>
    <row r="46" spans="1:7" s="82" customFormat="1" x14ac:dyDescent="0.25">
      <c r="A46" s="39" t="s">
        <v>79</v>
      </c>
      <c r="B46" s="9" t="s">
        <v>80</v>
      </c>
      <c r="C46" s="44" t="s">
        <v>71</v>
      </c>
      <c r="D46" s="41">
        <f>ROUNDUP(CANTIDADES!D144,0)</f>
        <v>100</v>
      </c>
      <c r="E46" s="17">
        <f>ROUNDUP(APUS!E254,0)</f>
        <v>31800</v>
      </c>
      <c r="F46" s="18">
        <f>+E46*D46</f>
        <v>3180000</v>
      </c>
      <c r="G46" s="57"/>
    </row>
    <row r="47" spans="1:7" s="82" customFormat="1" x14ac:dyDescent="0.25">
      <c r="A47" s="5"/>
      <c r="B47" s="6"/>
      <c r="C47" s="88"/>
      <c r="D47" s="8"/>
      <c r="E47" s="24" t="s">
        <v>7</v>
      </c>
      <c r="F47" s="25">
        <f>SUM(F44:F46)</f>
        <v>13677355</v>
      </c>
      <c r="G47" s="57"/>
    </row>
    <row r="48" spans="1:7" s="82" customFormat="1" x14ac:dyDescent="0.25">
      <c r="A48" s="5"/>
      <c r="B48" s="6"/>
      <c r="C48" s="88"/>
      <c r="D48" s="8"/>
      <c r="E48" s="15"/>
      <c r="F48" s="87"/>
      <c r="G48" s="57"/>
    </row>
    <row r="49" spans="1:7" s="82" customFormat="1" x14ac:dyDescent="0.25">
      <c r="A49" s="38">
        <v>7</v>
      </c>
      <c r="B49" s="33" t="s">
        <v>195</v>
      </c>
      <c r="C49" s="34" t="s">
        <v>3</v>
      </c>
      <c r="D49" s="34" t="s">
        <v>4</v>
      </c>
      <c r="E49" s="35" t="s">
        <v>5</v>
      </c>
      <c r="F49" s="36" t="s">
        <v>6</v>
      </c>
      <c r="G49" s="57"/>
    </row>
    <row r="50" spans="1:7" s="82" customFormat="1" x14ac:dyDescent="0.25">
      <c r="A50" s="39" t="s">
        <v>81</v>
      </c>
      <c r="B50" s="9" t="s">
        <v>221</v>
      </c>
      <c r="C50" s="44" t="s">
        <v>71</v>
      </c>
      <c r="D50" s="41">
        <v>1</v>
      </c>
      <c r="E50" s="17">
        <f>ROUNDUP(APUS!E273,0)</f>
        <v>6839609</v>
      </c>
      <c r="F50" s="18">
        <f>+E50*D50</f>
        <v>6839609</v>
      </c>
      <c r="G50" s="57"/>
    </row>
    <row r="51" spans="1:7" s="82" customFormat="1" x14ac:dyDescent="0.25">
      <c r="A51" s="5"/>
      <c r="B51" s="6"/>
      <c r="C51" s="7"/>
      <c r="D51" s="8"/>
      <c r="E51" s="64" t="s">
        <v>7</v>
      </c>
      <c r="F51" s="65">
        <f>SUM(F50:F50)</f>
        <v>6839609</v>
      </c>
      <c r="G51" s="57"/>
    </row>
    <row r="52" spans="1:7" s="82" customFormat="1" x14ac:dyDescent="0.25">
      <c r="A52" s="5"/>
      <c r="B52" s="6"/>
      <c r="C52" s="88"/>
      <c r="D52" s="8"/>
      <c r="E52" s="15"/>
      <c r="F52" s="87"/>
      <c r="G52" s="57"/>
    </row>
    <row r="53" spans="1:7" s="82" customFormat="1" x14ac:dyDescent="0.25">
      <c r="A53" s="38">
        <v>8</v>
      </c>
      <c r="B53" s="33" t="s">
        <v>242</v>
      </c>
      <c r="C53" s="34" t="s">
        <v>3</v>
      </c>
      <c r="D53" s="34" t="s">
        <v>4</v>
      </c>
      <c r="E53" s="35" t="s">
        <v>5</v>
      </c>
      <c r="F53" s="36" t="s">
        <v>6</v>
      </c>
      <c r="G53" s="57"/>
    </row>
    <row r="54" spans="1:7" s="82" customFormat="1" x14ac:dyDescent="0.25">
      <c r="A54" s="39" t="s">
        <v>211</v>
      </c>
      <c r="B54" s="9" t="s">
        <v>243</v>
      </c>
      <c r="C54" s="44" t="s">
        <v>71</v>
      </c>
      <c r="D54" s="41">
        <f>ROUNDUP(CANTIDADES!D152,0)</f>
        <v>1</v>
      </c>
      <c r="E54" s="17">
        <f>ROUNDUP((APUS!E292),0)</f>
        <v>3815534</v>
      </c>
      <c r="F54" s="18">
        <f>+E54*D54</f>
        <v>3815534</v>
      </c>
      <c r="G54" s="57"/>
    </row>
    <row r="55" spans="1:7" s="82" customFormat="1" x14ac:dyDescent="0.25">
      <c r="A55" s="5"/>
      <c r="B55" s="6"/>
      <c r="C55" s="7"/>
      <c r="D55" s="8"/>
      <c r="E55" s="64" t="s">
        <v>7</v>
      </c>
      <c r="F55" s="65">
        <f>SUM(F54:F54)</f>
        <v>3815534</v>
      </c>
      <c r="G55" s="57"/>
    </row>
    <row r="56" spans="1:7" x14ac:dyDescent="0.25">
      <c r="A56" s="14"/>
      <c r="B56" s="6" t="s">
        <v>244</v>
      </c>
      <c r="C56" s="7"/>
      <c r="D56" s="8"/>
      <c r="E56" s="15"/>
      <c r="F56" s="16">
        <v>570000</v>
      </c>
      <c r="G56" s="4"/>
    </row>
    <row r="57" spans="1:7" x14ac:dyDescent="0.25">
      <c r="A57" s="14"/>
      <c r="B57" s="6"/>
      <c r="C57" s="7"/>
      <c r="D57" s="8"/>
      <c r="E57" s="15"/>
      <c r="F57" s="16"/>
      <c r="G57" s="4"/>
    </row>
    <row r="58" spans="1:7" x14ac:dyDescent="0.25">
      <c r="A58"/>
      <c r="B58" s="166" t="s">
        <v>27</v>
      </c>
      <c r="C58" s="167"/>
      <c r="D58" s="167"/>
      <c r="E58" s="167"/>
      <c r="F58" s="168"/>
    </row>
    <row r="59" spans="1:7" x14ac:dyDescent="0.25">
      <c r="A59"/>
      <c r="B59" s="162" t="s">
        <v>25</v>
      </c>
      <c r="C59" s="163"/>
      <c r="D59" s="164"/>
      <c r="E59" s="29" t="s">
        <v>1</v>
      </c>
      <c r="F59" s="30">
        <f>F51+F47+F41+F36+F30+F23+F15+F56</f>
        <v>296391843</v>
      </c>
    </row>
    <row r="60" spans="1:7" x14ac:dyDescent="0.25">
      <c r="A60"/>
      <c r="B60" s="165" t="s">
        <v>26</v>
      </c>
      <c r="C60" s="165"/>
      <c r="D60" s="165"/>
      <c r="E60" s="31">
        <v>0.3</v>
      </c>
      <c r="F60" s="30">
        <f>+ROUND((F59*E60),0)</f>
        <v>88917553</v>
      </c>
    </row>
    <row r="61" spans="1:7" ht="15.75" hidden="1" thickBot="1" x14ac:dyDescent="0.3">
      <c r="A61"/>
      <c r="B61" s="161" t="s">
        <v>9</v>
      </c>
      <c r="C61" s="161"/>
      <c r="D61" s="161"/>
      <c r="E61" s="31" t="s">
        <v>10</v>
      </c>
      <c r="F61" s="32"/>
    </row>
    <row r="62" spans="1:7" x14ac:dyDescent="0.25">
      <c r="A62"/>
      <c r="B62" s="26"/>
      <c r="C62" s="26"/>
      <c r="D62" s="27"/>
      <c r="E62" s="28"/>
      <c r="F62" s="37">
        <f>SUM(F59:F61)</f>
        <v>385309396</v>
      </c>
    </row>
    <row r="64" spans="1:7" ht="72.75" customHeight="1" x14ac:dyDescent="0.25"/>
    <row r="65" spans="2:7" x14ac:dyDescent="0.25">
      <c r="B65" s="23" t="s">
        <v>23</v>
      </c>
      <c r="C65" s="21"/>
      <c r="D65" s="21"/>
      <c r="E65" s="105" t="s">
        <v>38</v>
      </c>
      <c r="F65" s="22"/>
      <c r="G65" s="10"/>
    </row>
    <row r="66" spans="2:7" x14ac:dyDescent="0.25">
      <c r="B66" s="20" t="s">
        <v>24</v>
      </c>
      <c r="C66" s="21"/>
      <c r="D66" s="21"/>
      <c r="E66" s="104" t="s">
        <v>37</v>
      </c>
      <c r="F66" s="21"/>
      <c r="G66"/>
    </row>
    <row r="69" spans="2:7" x14ac:dyDescent="0.25">
      <c r="F69" s="42"/>
    </row>
    <row r="70" spans="2:7" x14ac:dyDescent="0.25">
      <c r="F70" s="42"/>
    </row>
  </sheetData>
  <mergeCells count="8">
    <mergeCell ref="B61:D61"/>
    <mergeCell ref="B59:D59"/>
    <mergeCell ref="B60:D60"/>
    <mergeCell ref="B58:F58"/>
    <mergeCell ref="B2:D2"/>
    <mergeCell ref="B4:D4"/>
    <mergeCell ref="B5:D5"/>
    <mergeCell ref="B3:F3"/>
  </mergeCells>
  <printOptions horizontalCentered="1"/>
  <pageMargins left="0.59055118110236227" right="0.59055118110236227" top="0.59055118110236227" bottom="0.59055118110236227" header="0.31496062992125984" footer="0.31496062992125984"/>
  <pageSetup scale="89" fitToHeight="0" orientation="portrait" r:id="rId1"/>
  <rowBreaks count="1" manualBreakCount="1">
    <brk id="4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2"/>
  <sheetViews>
    <sheetView view="pageBreakPreview" topLeftCell="A19" zoomScaleNormal="100" zoomScaleSheetLayoutView="100" workbookViewId="0">
      <selection activeCell="F28" sqref="F28"/>
    </sheetView>
  </sheetViews>
  <sheetFormatPr baseColWidth="10" defaultRowHeight="15" x14ac:dyDescent="0.25"/>
  <cols>
    <col min="1" max="1" width="7.85546875" customWidth="1"/>
    <col min="2" max="2" width="57.140625" customWidth="1"/>
    <col min="5" max="5" width="14.85546875" bestFit="1" customWidth="1"/>
    <col min="6" max="7" width="14" bestFit="1" customWidth="1"/>
    <col min="8" max="8" width="13.85546875" bestFit="1" customWidth="1"/>
    <col min="10" max="10" width="3.28515625" customWidth="1"/>
  </cols>
  <sheetData>
    <row r="1" spans="1:9" ht="30.75" customHeight="1" x14ac:dyDescent="0.25">
      <c r="A1" s="21"/>
      <c r="B1" s="171" t="s">
        <v>246</v>
      </c>
      <c r="C1" s="171"/>
      <c r="D1" s="171"/>
      <c r="E1" s="171"/>
      <c r="F1" s="171"/>
      <c r="G1" s="171"/>
      <c r="H1" s="171"/>
      <c r="I1" s="171"/>
    </row>
    <row r="2" spans="1:9" x14ac:dyDescent="0.25">
      <c r="A2" s="21"/>
      <c r="B2" s="170" t="s">
        <v>29</v>
      </c>
      <c r="C2" s="170"/>
      <c r="D2" s="170"/>
      <c r="E2" s="21"/>
      <c r="F2" s="21"/>
    </row>
    <row r="3" spans="1:9" ht="15" customHeight="1" x14ac:dyDescent="0.25">
      <c r="A3" s="21"/>
      <c r="B3" s="170" t="s">
        <v>39</v>
      </c>
      <c r="C3" s="170"/>
      <c r="D3" s="170"/>
      <c r="E3" s="21"/>
      <c r="F3" s="21"/>
      <c r="G3" s="43"/>
      <c r="H3" s="43"/>
      <c r="I3" s="43"/>
    </row>
    <row r="4" spans="1:9" ht="15" customHeight="1" thickBot="1" x14ac:dyDescent="0.3">
      <c r="A4" s="40"/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84" t="str">
        <f>'PRESUP-SOT-3P'!A8</f>
        <v>01,01</v>
      </c>
      <c r="B5" s="47" t="str">
        <f>'PRESUP-SOT-3P'!B8</f>
        <v xml:space="preserve">Localización y replanteo </v>
      </c>
      <c r="C5" s="48" t="s">
        <v>11</v>
      </c>
      <c r="D5" s="48" t="s">
        <v>12</v>
      </c>
      <c r="E5" s="49" t="s">
        <v>5</v>
      </c>
      <c r="F5" s="50" t="s">
        <v>13</v>
      </c>
      <c r="G5" s="50" t="s">
        <v>14</v>
      </c>
      <c r="H5" s="50" t="s">
        <v>15</v>
      </c>
      <c r="I5" s="51" t="s">
        <v>16</v>
      </c>
    </row>
    <row r="6" spans="1:9" x14ac:dyDescent="0.25">
      <c r="A6" s="63"/>
      <c r="B6" s="89" t="s">
        <v>85</v>
      </c>
      <c r="C6" s="90" t="s">
        <v>86</v>
      </c>
      <c r="D6" s="119">
        <v>5.0000000000000001E-4</v>
      </c>
      <c r="E6" s="107">
        <v>800000</v>
      </c>
      <c r="F6" s="106">
        <f>E6*D6</f>
        <v>400</v>
      </c>
      <c r="G6" s="107"/>
      <c r="H6" s="108"/>
      <c r="I6" s="109"/>
    </row>
    <row r="7" spans="1:9" x14ac:dyDescent="0.25">
      <c r="A7" s="63"/>
      <c r="B7" s="89" t="s">
        <v>82</v>
      </c>
      <c r="C7" s="90" t="s">
        <v>86</v>
      </c>
      <c r="D7" s="119">
        <v>1E-3</v>
      </c>
      <c r="E7" s="107">
        <v>500000</v>
      </c>
      <c r="F7" s="106"/>
      <c r="G7" s="108"/>
      <c r="H7" s="108">
        <f>E7*D7</f>
        <v>500</v>
      </c>
      <c r="I7" s="109"/>
    </row>
    <row r="8" spans="1:9" x14ac:dyDescent="0.25">
      <c r="A8" s="63"/>
      <c r="B8" s="89" t="s">
        <v>83</v>
      </c>
      <c r="C8" s="90" t="s">
        <v>86</v>
      </c>
      <c r="D8" s="119">
        <v>1E-3</v>
      </c>
      <c r="E8" s="107">
        <v>750000</v>
      </c>
      <c r="F8" s="110"/>
      <c r="G8" s="111"/>
      <c r="H8" s="111">
        <f>E8*D8</f>
        <v>750</v>
      </c>
      <c r="I8" s="112"/>
    </row>
    <row r="9" spans="1:9" ht="15.75" thickBot="1" x14ac:dyDescent="0.3">
      <c r="A9" s="63"/>
      <c r="B9" s="89" t="s">
        <v>84</v>
      </c>
      <c r="C9" s="90" t="s">
        <v>86</v>
      </c>
      <c r="D9" s="119">
        <v>5.0000000000000001E-4</v>
      </c>
      <c r="E9" s="107">
        <v>1500000</v>
      </c>
      <c r="F9" s="113"/>
      <c r="G9" s="111" t="s">
        <v>247</v>
      </c>
      <c r="H9" s="113">
        <f>E9*D9</f>
        <v>750</v>
      </c>
      <c r="I9" s="114"/>
    </row>
    <row r="10" spans="1:9" s="86" customFormat="1" ht="15.75" thickBot="1" x14ac:dyDescent="0.3">
      <c r="A10" s="10"/>
      <c r="B10" s="11" t="s">
        <v>17</v>
      </c>
      <c r="C10" s="19" t="s">
        <v>8</v>
      </c>
      <c r="D10" s="19"/>
      <c r="E10" s="52">
        <f>SUM(F10:I10)</f>
        <v>2400</v>
      </c>
      <c r="F10" s="53">
        <f>SUM(F6:F9)</f>
        <v>400</v>
      </c>
      <c r="G10" s="54">
        <f>SUM(G6:G9)</f>
        <v>0</v>
      </c>
      <c r="H10" s="54">
        <f>SUM(H6:H9)</f>
        <v>2000</v>
      </c>
      <c r="I10" s="120">
        <f>SUM(I6:I9)</f>
        <v>0</v>
      </c>
    </row>
    <row r="11" spans="1:9" ht="15.75" thickBot="1" x14ac:dyDescent="0.3"/>
    <row r="12" spans="1:9" s="86" customFormat="1" x14ac:dyDescent="0.25">
      <c r="A12" s="84" t="str">
        <f>'PRESUP-SOT-3P'!A9</f>
        <v>01,02</v>
      </c>
      <c r="B12" s="47" t="str">
        <f>'PRESUP-SOT-3P'!B9</f>
        <v>Excavación mecánica incluye desalojo en el sitio H&lt;=5.0m</v>
      </c>
      <c r="C12" s="48" t="s">
        <v>11</v>
      </c>
      <c r="D12" s="48" t="s">
        <v>12</v>
      </c>
      <c r="E12" s="49" t="s">
        <v>5</v>
      </c>
      <c r="F12" s="50" t="s">
        <v>13</v>
      </c>
      <c r="G12" s="50" t="s">
        <v>14</v>
      </c>
      <c r="H12" s="50" t="s">
        <v>15</v>
      </c>
      <c r="I12" s="51" t="s">
        <v>16</v>
      </c>
    </row>
    <row r="13" spans="1:9" x14ac:dyDescent="0.25">
      <c r="A13" s="63"/>
      <c r="B13" s="89" t="s">
        <v>87</v>
      </c>
      <c r="C13" s="90" t="s">
        <v>40</v>
      </c>
      <c r="D13" s="119">
        <v>0.1</v>
      </c>
      <c r="E13" s="107">
        <v>40600</v>
      </c>
      <c r="F13" s="106">
        <f>E13*D13</f>
        <v>4060</v>
      </c>
      <c r="G13" s="107"/>
      <c r="H13" s="108"/>
      <c r="I13" s="109"/>
    </row>
    <row r="14" spans="1:9" x14ac:dyDescent="0.25">
      <c r="A14" s="63"/>
      <c r="B14" s="89" t="s">
        <v>88</v>
      </c>
      <c r="C14" s="90" t="s">
        <v>89</v>
      </c>
      <c r="D14" s="119">
        <v>0.1</v>
      </c>
      <c r="E14" s="107">
        <v>90000</v>
      </c>
      <c r="F14" s="106">
        <f>E14*D14</f>
        <v>9000</v>
      </c>
      <c r="G14" s="107"/>
      <c r="H14" s="108"/>
      <c r="I14" s="109"/>
    </row>
    <row r="15" spans="1:9" x14ac:dyDescent="0.25">
      <c r="A15" s="63"/>
      <c r="B15" s="89" t="s">
        <v>90</v>
      </c>
      <c r="C15" s="90" t="s">
        <v>91</v>
      </c>
      <c r="D15" s="119">
        <v>0.1</v>
      </c>
      <c r="E15" s="107">
        <v>15000</v>
      </c>
      <c r="F15" s="106"/>
      <c r="G15" s="108">
        <f>E15*D15</f>
        <v>1500</v>
      </c>
      <c r="H15" s="108"/>
      <c r="I15" s="109"/>
    </row>
    <row r="16" spans="1:9" x14ac:dyDescent="0.25">
      <c r="A16" s="63"/>
      <c r="B16" s="89" t="s">
        <v>92</v>
      </c>
      <c r="C16" s="90" t="s">
        <v>65</v>
      </c>
      <c r="D16" s="119">
        <v>0.1</v>
      </c>
      <c r="E16" s="107">
        <v>5660</v>
      </c>
      <c r="F16" s="110">
        <f>E16*D16</f>
        <v>566</v>
      </c>
      <c r="G16" s="111"/>
      <c r="H16" s="111"/>
      <c r="I16" s="112"/>
    </row>
    <row r="17" spans="1:9" x14ac:dyDescent="0.25">
      <c r="A17" s="63"/>
      <c r="B17" s="89" t="s">
        <v>93</v>
      </c>
      <c r="C17" s="90" t="s">
        <v>65</v>
      </c>
      <c r="D17" s="119">
        <v>0.1</v>
      </c>
      <c r="E17" s="107">
        <v>19638</v>
      </c>
      <c r="F17" s="110">
        <f>E17*D17</f>
        <v>1963.8000000000002</v>
      </c>
      <c r="G17" s="111"/>
      <c r="H17" s="113"/>
      <c r="I17" s="114"/>
    </row>
    <row r="18" spans="1:9" ht="15.75" thickBot="1" x14ac:dyDescent="0.3">
      <c r="A18" s="63"/>
      <c r="B18" s="89" t="s">
        <v>94</v>
      </c>
      <c r="C18" s="90" t="s">
        <v>95</v>
      </c>
      <c r="D18" s="119">
        <v>0.1</v>
      </c>
      <c r="E18" s="107">
        <v>75000</v>
      </c>
      <c r="F18" s="113"/>
      <c r="G18" s="111"/>
      <c r="H18" s="113">
        <f>E18*D18</f>
        <v>7500</v>
      </c>
      <c r="I18" s="114"/>
    </row>
    <row r="19" spans="1:9" s="86" customFormat="1" ht="15.75" thickBot="1" x14ac:dyDescent="0.3">
      <c r="A19" s="10"/>
      <c r="B19" s="11" t="s">
        <v>17</v>
      </c>
      <c r="C19" s="19" t="s">
        <v>42</v>
      </c>
      <c r="D19" s="19"/>
      <c r="E19" s="52">
        <f>SUM(F19:I19)</f>
        <v>24589.8</v>
      </c>
      <c r="F19" s="53">
        <f>SUM(F13:F18)</f>
        <v>15589.8</v>
      </c>
      <c r="G19" s="54">
        <f>SUM(G13:G18)</f>
        <v>1500</v>
      </c>
      <c r="H19" s="54">
        <f>SUM(H13:H18)</f>
        <v>7500</v>
      </c>
      <c r="I19" s="55">
        <f>SUM(I13:I18)</f>
        <v>0</v>
      </c>
    </row>
    <row r="20" spans="1:9" s="86" customFormat="1" ht="15.75" thickBot="1" x14ac:dyDescent="0.3">
      <c r="A20" s="66"/>
      <c r="B20" s="61"/>
      <c r="C20" s="61"/>
      <c r="D20" s="61"/>
      <c r="E20" s="59"/>
      <c r="F20" s="61"/>
      <c r="G20" s="85"/>
      <c r="H20" s="85"/>
      <c r="I20" s="61"/>
    </row>
    <row r="21" spans="1:9" ht="25.5" x14ac:dyDescent="0.25">
      <c r="A21" s="84" t="str">
        <f>'PRESUP-SOT-3P'!A10</f>
        <v>01,03</v>
      </c>
      <c r="B21" s="47" t="str">
        <f>'PRESUP-SOT-3P'!B10</f>
        <v>Exacavación manual tierra seca incluye desalojo en el sitio H&lt;=5m</v>
      </c>
      <c r="C21" s="48" t="s">
        <v>11</v>
      </c>
      <c r="D21" s="48" t="s">
        <v>12</v>
      </c>
      <c r="E21" s="49" t="s">
        <v>5</v>
      </c>
      <c r="F21" s="50" t="s">
        <v>13</v>
      </c>
      <c r="G21" s="50" t="s">
        <v>14</v>
      </c>
      <c r="H21" s="50" t="s">
        <v>15</v>
      </c>
      <c r="I21" s="51" t="s">
        <v>16</v>
      </c>
    </row>
    <row r="22" spans="1:9" x14ac:dyDescent="0.25">
      <c r="A22" s="10"/>
      <c r="B22" s="89" t="s">
        <v>97</v>
      </c>
      <c r="C22" s="90" t="s">
        <v>65</v>
      </c>
      <c r="D22" s="119">
        <v>0.01</v>
      </c>
      <c r="E22" s="107">
        <v>110000</v>
      </c>
      <c r="F22" s="91">
        <f>E22*D22</f>
        <v>1100</v>
      </c>
      <c r="G22" s="91"/>
      <c r="H22" s="91"/>
      <c r="I22" s="92"/>
    </row>
    <row r="23" spans="1:9" x14ac:dyDescent="0.25">
      <c r="A23" s="10"/>
      <c r="B23" s="89" t="s">
        <v>98</v>
      </c>
      <c r="C23" s="90" t="s">
        <v>65</v>
      </c>
      <c r="D23" s="119">
        <v>0.05</v>
      </c>
      <c r="E23" s="107">
        <v>5040.2</v>
      </c>
      <c r="F23" s="91">
        <f t="shared" ref="F23:F28" si="0">E23*D23</f>
        <v>252.01</v>
      </c>
      <c r="G23" s="91"/>
      <c r="H23" s="93"/>
      <c r="I23" s="92"/>
    </row>
    <row r="24" spans="1:9" x14ac:dyDescent="0.25">
      <c r="A24" s="10"/>
      <c r="B24" s="89" t="s">
        <v>99</v>
      </c>
      <c r="C24" s="90" t="s">
        <v>65</v>
      </c>
      <c r="D24" s="119">
        <v>5.0000000000000001E-3</v>
      </c>
      <c r="E24" s="107">
        <v>10670</v>
      </c>
      <c r="F24" s="91">
        <f t="shared" si="0"/>
        <v>53.35</v>
      </c>
      <c r="G24" s="93"/>
      <c r="H24" s="93"/>
      <c r="I24" s="92"/>
    </row>
    <row r="25" spans="1:9" x14ac:dyDescent="0.25">
      <c r="A25" s="10"/>
      <c r="B25" s="89" t="s">
        <v>100</v>
      </c>
      <c r="C25" s="90" t="s">
        <v>65</v>
      </c>
      <c r="D25" s="119">
        <v>5.0000000000000001E-3</v>
      </c>
      <c r="E25" s="107">
        <v>11522.83</v>
      </c>
      <c r="F25" s="91">
        <f t="shared" si="0"/>
        <v>57.614150000000002</v>
      </c>
      <c r="G25" s="91"/>
      <c r="H25" s="93"/>
      <c r="I25" s="92"/>
    </row>
    <row r="26" spans="1:9" x14ac:dyDescent="0.25">
      <c r="A26" s="10"/>
      <c r="B26" s="89" t="s">
        <v>101</v>
      </c>
      <c r="C26" s="90" t="s">
        <v>65</v>
      </c>
      <c r="D26" s="119">
        <v>0.05</v>
      </c>
      <c r="E26" s="107">
        <v>18634</v>
      </c>
      <c r="F26" s="91">
        <f t="shared" si="0"/>
        <v>931.7</v>
      </c>
      <c r="G26" s="91"/>
      <c r="H26" s="93"/>
      <c r="I26" s="92"/>
    </row>
    <row r="27" spans="1:9" x14ac:dyDescent="0.25">
      <c r="A27" s="10"/>
      <c r="B27" s="89" t="s">
        <v>102</v>
      </c>
      <c r="C27" s="90" t="s">
        <v>65</v>
      </c>
      <c r="D27" s="119">
        <v>0.05</v>
      </c>
      <c r="E27" s="107">
        <v>17400</v>
      </c>
      <c r="F27" s="91">
        <f>E27*D27</f>
        <v>870</v>
      </c>
      <c r="G27" s="93"/>
      <c r="H27" s="93"/>
      <c r="I27" s="92"/>
    </row>
    <row r="28" spans="1:9" x14ac:dyDescent="0.25">
      <c r="A28" s="10"/>
      <c r="B28" s="89" t="s">
        <v>103</v>
      </c>
      <c r="C28" s="90" t="s">
        <v>65</v>
      </c>
      <c r="D28" s="119">
        <v>0.05</v>
      </c>
      <c r="E28" s="107">
        <v>3723</v>
      </c>
      <c r="F28" s="91">
        <f t="shared" si="0"/>
        <v>186.15</v>
      </c>
      <c r="G28" s="93"/>
      <c r="H28" s="93"/>
      <c r="I28" s="92"/>
    </row>
    <row r="29" spans="1:9" ht="15.75" thickBot="1" x14ac:dyDescent="0.3">
      <c r="A29" s="10"/>
      <c r="B29" s="89" t="s">
        <v>104</v>
      </c>
      <c r="C29" s="90" t="s">
        <v>53</v>
      </c>
      <c r="D29" s="119">
        <v>3.5</v>
      </c>
      <c r="E29" s="107">
        <v>4950</v>
      </c>
      <c r="F29" s="91"/>
      <c r="G29" s="93"/>
      <c r="H29" s="93">
        <f>E29*D29</f>
        <v>17325</v>
      </c>
      <c r="I29" s="92"/>
    </row>
    <row r="30" spans="1:9" s="86" customFormat="1" ht="15.75" thickBot="1" x14ac:dyDescent="0.3">
      <c r="A30" s="10"/>
      <c r="B30" s="11" t="s">
        <v>17</v>
      </c>
      <c r="C30" s="19" t="s">
        <v>42</v>
      </c>
      <c r="D30" s="19"/>
      <c r="E30" s="52">
        <f>SUM(F30:I30)</f>
        <v>20775.82415</v>
      </c>
      <c r="F30" s="53">
        <f>SUM(F22:F28)</f>
        <v>3450.8241499999999</v>
      </c>
      <c r="G30" s="54">
        <f>SUM(G22:G29)</f>
        <v>0</v>
      </c>
      <c r="H30" s="54">
        <f>SUM(H22:H29)</f>
        <v>17325</v>
      </c>
      <c r="I30" s="120">
        <f>SUM(I22:I29)</f>
        <v>0</v>
      </c>
    </row>
    <row r="31" spans="1:9" s="86" customFormat="1" ht="15.75" thickBot="1" x14ac:dyDescent="0.3">
      <c r="B31" s="94"/>
      <c r="C31" s="94"/>
      <c r="D31" s="94"/>
      <c r="E31" s="95"/>
      <c r="F31" s="94"/>
      <c r="G31" s="95"/>
      <c r="H31" s="95"/>
      <c r="I31" s="94"/>
    </row>
    <row r="32" spans="1:9" s="86" customFormat="1" ht="25.5" x14ac:dyDescent="0.25">
      <c r="A32" s="84" t="str">
        <f>'PRESUP-SOT-3P'!A11</f>
        <v>01,04</v>
      </c>
      <c r="B32" s="47" t="str">
        <f>'PRESUP-SOT-3P'!B11</f>
        <v>Exacavación manual tierra seca  incluye desalojo en el sitio H&gt;5m</v>
      </c>
      <c r="C32" s="48" t="s">
        <v>11</v>
      </c>
      <c r="D32" s="48" t="s">
        <v>12</v>
      </c>
      <c r="E32" s="49" t="s">
        <v>5</v>
      </c>
      <c r="F32" s="50" t="s">
        <v>13</v>
      </c>
      <c r="G32" s="50" t="s">
        <v>14</v>
      </c>
      <c r="H32" s="50" t="s">
        <v>15</v>
      </c>
      <c r="I32" s="51" t="s">
        <v>16</v>
      </c>
    </row>
    <row r="33" spans="1:9" x14ac:dyDescent="0.25">
      <c r="A33" s="10"/>
      <c r="B33" s="89" t="s">
        <v>97</v>
      </c>
      <c r="C33" s="90" t="s">
        <v>65</v>
      </c>
      <c r="D33" s="119">
        <v>0.01</v>
      </c>
      <c r="E33" s="117">
        <v>110000</v>
      </c>
      <c r="F33" s="91">
        <f>E33*D33</f>
        <v>1100</v>
      </c>
      <c r="G33" s="91"/>
      <c r="H33" s="91"/>
      <c r="I33" s="92"/>
    </row>
    <row r="34" spans="1:9" x14ac:dyDescent="0.25">
      <c r="A34" s="10"/>
      <c r="B34" s="89" t="s">
        <v>98</v>
      </c>
      <c r="C34" s="90" t="s">
        <v>65</v>
      </c>
      <c r="D34" s="119">
        <v>0.05</v>
      </c>
      <c r="E34" s="117">
        <v>5040.2</v>
      </c>
      <c r="F34" s="91">
        <f t="shared" ref="F34:F39" si="1">E34*D34</f>
        <v>252.01</v>
      </c>
      <c r="G34" s="91"/>
      <c r="H34" s="91"/>
      <c r="I34" s="92"/>
    </row>
    <row r="35" spans="1:9" x14ac:dyDescent="0.25">
      <c r="A35" s="10"/>
      <c r="B35" s="89" t="s">
        <v>99</v>
      </c>
      <c r="C35" s="90" t="s">
        <v>65</v>
      </c>
      <c r="D35" s="119">
        <v>5.0000000000000001E-3</v>
      </c>
      <c r="E35" s="117">
        <v>10670</v>
      </c>
      <c r="F35" s="91">
        <f t="shared" si="1"/>
        <v>53.35</v>
      </c>
      <c r="G35" s="91"/>
      <c r="H35" s="91"/>
      <c r="I35" s="92"/>
    </row>
    <row r="36" spans="1:9" x14ac:dyDescent="0.25">
      <c r="A36" s="10"/>
      <c r="B36" s="89" t="s">
        <v>100</v>
      </c>
      <c r="C36" s="90" t="s">
        <v>65</v>
      </c>
      <c r="D36" s="119">
        <v>5.0000000000000001E-3</v>
      </c>
      <c r="E36" s="117">
        <v>11522.83</v>
      </c>
      <c r="F36" s="91">
        <f t="shared" si="1"/>
        <v>57.614150000000002</v>
      </c>
      <c r="G36" s="91"/>
      <c r="H36" s="91"/>
      <c r="I36" s="92"/>
    </row>
    <row r="37" spans="1:9" x14ac:dyDescent="0.25">
      <c r="A37" s="10"/>
      <c r="B37" s="89" t="s">
        <v>101</v>
      </c>
      <c r="C37" s="90" t="s">
        <v>65</v>
      </c>
      <c r="D37" s="119">
        <v>0.05</v>
      </c>
      <c r="E37" s="117">
        <v>18634</v>
      </c>
      <c r="F37" s="91">
        <f t="shared" si="1"/>
        <v>931.7</v>
      </c>
      <c r="G37" s="91"/>
      <c r="H37" s="91"/>
      <c r="I37" s="92"/>
    </row>
    <row r="38" spans="1:9" x14ac:dyDescent="0.25">
      <c r="A38" s="10"/>
      <c r="B38" s="89" t="s">
        <v>102</v>
      </c>
      <c r="C38" s="90" t="s">
        <v>65</v>
      </c>
      <c r="D38" s="119">
        <v>0.05</v>
      </c>
      <c r="E38" s="117">
        <v>17400</v>
      </c>
      <c r="F38" s="91">
        <f t="shared" si="1"/>
        <v>870</v>
      </c>
      <c r="G38" s="91"/>
      <c r="H38" s="91"/>
      <c r="I38" s="92"/>
    </row>
    <row r="39" spans="1:9" x14ac:dyDescent="0.25">
      <c r="A39" s="10"/>
      <c r="B39" s="89" t="s">
        <v>103</v>
      </c>
      <c r="C39" s="90" t="s">
        <v>65</v>
      </c>
      <c r="D39" s="119">
        <v>0.05</v>
      </c>
      <c r="E39" s="117">
        <v>3723</v>
      </c>
      <c r="F39" s="91">
        <f t="shared" si="1"/>
        <v>186.15</v>
      </c>
      <c r="G39" s="91"/>
      <c r="H39" s="91"/>
      <c r="I39" s="92"/>
    </row>
    <row r="40" spans="1:9" ht="15.75" thickBot="1" x14ac:dyDescent="0.3">
      <c r="A40" s="10"/>
      <c r="B40" s="89" t="s">
        <v>104</v>
      </c>
      <c r="C40" s="90" t="s">
        <v>53</v>
      </c>
      <c r="D40" s="119">
        <v>4.5</v>
      </c>
      <c r="E40" s="117">
        <v>4950</v>
      </c>
      <c r="F40" s="91"/>
      <c r="G40" s="91"/>
      <c r="H40" s="91">
        <f>E40*D40</f>
        <v>22275</v>
      </c>
      <c r="I40" s="92"/>
    </row>
    <row r="41" spans="1:9" s="86" customFormat="1" ht="15.75" thickBot="1" x14ac:dyDescent="0.3">
      <c r="A41" s="10"/>
      <c r="B41" s="11" t="s">
        <v>17</v>
      </c>
      <c r="C41" s="19" t="s">
        <v>42</v>
      </c>
      <c r="D41" s="19"/>
      <c r="E41" s="52">
        <f>SUM(F41:I41)</f>
        <v>25725.82415</v>
      </c>
      <c r="F41" s="53">
        <f>SUM(F33:F40)</f>
        <v>3450.8241499999999</v>
      </c>
      <c r="G41" s="54">
        <f>SUM(G33:G40)</f>
        <v>0</v>
      </c>
      <c r="H41" s="54">
        <f>SUM(H33:H40)</f>
        <v>22275</v>
      </c>
      <c r="I41" s="120">
        <f>SUM(I33:I40)</f>
        <v>0</v>
      </c>
    </row>
    <row r="43" spans="1:9" ht="15.75" thickBot="1" x14ac:dyDescent="0.3"/>
    <row r="44" spans="1:9" s="86" customFormat="1" x14ac:dyDescent="0.25">
      <c r="A44" s="84" t="str">
        <f>'PRESUP-SOT-3P'!A12</f>
        <v>01,05</v>
      </c>
      <c r="B44" s="47" t="str">
        <f>'PRESUP-SOT-3P'!B12</f>
        <v>Corte de Roca, incluye desalojo en el sitio</v>
      </c>
      <c r="C44" s="48" t="s">
        <v>11</v>
      </c>
      <c r="D44" s="48" t="s">
        <v>12</v>
      </c>
      <c r="E44" s="49" t="s">
        <v>5</v>
      </c>
      <c r="F44" s="50" t="s">
        <v>13</v>
      </c>
      <c r="G44" s="50" t="s">
        <v>14</v>
      </c>
      <c r="H44" s="50" t="s">
        <v>15</v>
      </c>
      <c r="I44" s="51" t="s">
        <v>16</v>
      </c>
    </row>
    <row r="45" spans="1:9" x14ac:dyDescent="0.25">
      <c r="A45" s="45"/>
      <c r="B45" s="89" t="s">
        <v>107</v>
      </c>
      <c r="C45" s="90" t="s">
        <v>65</v>
      </c>
      <c r="D45" s="119">
        <v>0.2</v>
      </c>
      <c r="E45" s="117">
        <v>6490</v>
      </c>
      <c r="F45" s="96">
        <f t="shared" ref="F45:F50" si="2">E45*D45</f>
        <v>1298</v>
      </c>
      <c r="G45" s="96"/>
      <c r="H45" s="96"/>
      <c r="I45" s="96"/>
    </row>
    <row r="46" spans="1:9" x14ac:dyDescent="0.25">
      <c r="A46" s="45"/>
      <c r="B46" s="89" t="s">
        <v>90</v>
      </c>
      <c r="C46" s="90" t="s">
        <v>91</v>
      </c>
      <c r="D46" s="119">
        <v>2.2000000000000002</v>
      </c>
      <c r="E46" s="117">
        <v>15000</v>
      </c>
      <c r="F46" s="96">
        <f t="shared" si="2"/>
        <v>33000</v>
      </c>
      <c r="G46" s="96"/>
      <c r="H46" s="96"/>
      <c r="I46" s="96"/>
    </row>
    <row r="47" spans="1:9" x14ac:dyDescent="0.25">
      <c r="A47" s="45"/>
      <c r="B47" s="89" t="s">
        <v>102</v>
      </c>
      <c r="C47" s="90" t="s">
        <v>65</v>
      </c>
      <c r="D47" s="119">
        <v>0.2</v>
      </c>
      <c r="E47" s="117">
        <v>17400</v>
      </c>
      <c r="F47" s="96">
        <f t="shared" si="2"/>
        <v>3480</v>
      </c>
      <c r="G47" s="96"/>
      <c r="H47" s="96"/>
      <c r="I47" s="96"/>
    </row>
    <row r="48" spans="1:9" x14ac:dyDescent="0.25">
      <c r="A48" s="45"/>
      <c r="B48" s="89" t="s">
        <v>108</v>
      </c>
      <c r="C48" s="90" t="s">
        <v>65</v>
      </c>
      <c r="D48" s="119">
        <v>0.2</v>
      </c>
      <c r="E48" s="117">
        <v>18560</v>
      </c>
      <c r="F48" s="96">
        <f t="shared" si="2"/>
        <v>3712</v>
      </c>
      <c r="G48" s="96"/>
      <c r="H48" s="96"/>
      <c r="I48" s="96"/>
    </row>
    <row r="49" spans="1:9" x14ac:dyDescent="0.25">
      <c r="A49" s="45"/>
      <c r="B49" s="89" t="s">
        <v>103</v>
      </c>
      <c r="C49" s="90" t="s">
        <v>65</v>
      </c>
      <c r="D49" s="119">
        <v>0.1</v>
      </c>
      <c r="E49" s="117">
        <v>3723</v>
      </c>
      <c r="F49" s="96">
        <f t="shared" si="2"/>
        <v>372.3</v>
      </c>
      <c r="G49" s="96"/>
      <c r="H49" s="96"/>
      <c r="I49" s="96"/>
    </row>
    <row r="50" spans="1:9" x14ac:dyDescent="0.25">
      <c r="A50" s="45"/>
      <c r="B50" s="89" t="s">
        <v>92</v>
      </c>
      <c r="C50" s="90" t="s">
        <v>65</v>
      </c>
      <c r="D50" s="119">
        <v>0.2</v>
      </c>
      <c r="E50" s="117">
        <v>5660</v>
      </c>
      <c r="F50" s="96">
        <f t="shared" si="2"/>
        <v>1132</v>
      </c>
      <c r="G50" s="96"/>
      <c r="H50" s="96"/>
      <c r="I50" s="96"/>
    </row>
    <row r="51" spans="1:9" x14ac:dyDescent="0.25">
      <c r="A51" s="45"/>
      <c r="B51" s="89" t="s">
        <v>109</v>
      </c>
      <c r="C51" s="90" t="s">
        <v>110</v>
      </c>
      <c r="D51" s="119">
        <v>0.09</v>
      </c>
      <c r="E51" s="118">
        <v>478686.96</v>
      </c>
      <c r="F51" s="96"/>
      <c r="G51" s="96"/>
      <c r="H51" s="123">
        <f>E51*D51</f>
        <v>43081.826399999998</v>
      </c>
      <c r="I51" s="96"/>
    </row>
    <row r="52" spans="1:9" ht="15.75" thickBot="1" x14ac:dyDescent="0.3">
      <c r="A52" s="45"/>
      <c r="B52" s="89" t="s">
        <v>111</v>
      </c>
      <c r="C52" s="90" t="s">
        <v>110</v>
      </c>
      <c r="D52" s="119">
        <v>0.5</v>
      </c>
      <c r="E52" s="117">
        <v>35000</v>
      </c>
      <c r="F52" s="96"/>
      <c r="G52" s="96"/>
      <c r="H52" s="96">
        <f>E52*D52</f>
        <v>17500</v>
      </c>
      <c r="I52" s="96"/>
    </row>
    <row r="53" spans="1:9" s="86" customFormat="1" ht="15.75" thickBot="1" x14ac:dyDescent="0.3">
      <c r="A53" s="10"/>
      <c r="B53" s="11" t="s">
        <v>17</v>
      </c>
      <c r="C53" s="19" t="s">
        <v>42</v>
      </c>
      <c r="D53" s="19"/>
      <c r="E53" s="52">
        <f>SUM(F53:I53)</f>
        <v>103576.12640000001</v>
      </c>
      <c r="F53" s="121">
        <f>SUM(F45:F52)</f>
        <v>42994.3</v>
      </c>
      <c r="G53" s="54">
        <f>SUM(G45:G52)</f>
        <v>0</v>
      </c>
      <c r="H53" s="54">
        <f>SUM(H45:H52)</f>
        <v>60581.826399999998</v>
      </c>
      <c r="I53" s="120">
        <f>SUM(I45:I52)</f>
        <v>0</v>
      </c>
    </row>
    <row r="54" spans="1:9" ht="15.75" thickBot="1" x14ac:dyDescent="0.3">
      <c r="A54" s="45"/>
      <c r="B54" s="58"/>
      <c r="C54" s="58"/>
      <c r="D54" s="58"/>
      <c r="E54" s="59"/>
      <c r="F54" s="60"/>
      <c r="G54" s="60"/>
      <c r="H54" s="60"/>
      <c r="I54" s="61"/>
    </row>
    <row r="55" spans="1:9" ht="32.25" customHeight="1" x14ac:dyDescent="0.25">
      <c r="A55" s="84" t="str">
        <f>'PRESUP-SOT-3P'!A13</f>
        <v>01,06</v>
      </c>
      <c r="B55" s="56" t="str">
        <f>'PRESUP-SOT-3P'!B13</f>
        <v>Entibado con tablones cada 0.5m apuntalamiento guadua Dmin=3" (Incluye dos caras)</v>
      </c>
      <c r="C55" s="48" t="s">
        <v>11</v>
      </c>
      <c r="D55" s="48" t="s">
        <v>12</v>
      </c>
      <c r="E55" s="49" t="s">
        <v>5</v>
      </c>
      <c r="F55" s="50" t="s">
        <v>13</v>
      </c>
      <c r="G55" s="50" t="s">
        <v>14</v>
      </c>
      <c r="H55" s="50" t="s">
        <v>15</v>
      </c>
      <c r="I55" s="51" t="s">
        <v>16</v>
      </c>
    </row>
    <row r="56" spans="1:9" x14ac:dyDescent="0.25">
      <c r="A56" s="45"/>
      <c r="B56" s="89" t="s">
        <v>112</v>
      </c>
      <c r="C56" s="90" t="s">
        <v>33</v>
      </c>
      <c r="D56" s="107">
        <v>1</v>
      </c>
      <c r="E56" s="108">
        <v>100</v>
      </c>
      <c r="F56" s="96">
        <f>E56*D56</f>
        <v>100</v>
      </c>
      <c r="G56" s="96"/>
      <c r="H56" s="96"/>
      <c r="I56" s="96"/>
    </row>
    <row r="57" spans="1:9" x14ac:dyDescent="0.25">
      <c r="A57" s="45"/>
      <c r="B57" s="89" t="s">
        <v>113</v>
      </c>
      <c r="C57" s="90" t="s">
        <v>71</v>
      </c>
      <c r="D57" s="117">
        <v>0.33</v>
      </c>
      <c r="E57" s="108">
        <v>10500</v>
      </c>
      <c r="F57" s="96">
        <f>E57*D57</f>
        <v>3465</v>
      </c>
      <c r="G57" s="96"/>
      <c r="H57" s="96"/>
      <c r="I57" s="96"/>
    </row>
    <row r="58" spans="1:9" x14ac:dyDescent="0.25">
      <c r="A58" s="45"/>
      <c r="B58" s="89" t="s">
        <v>114</v>
      </c>
      <c r="C58" s="90" t="s">
        <v>0</v>
      </c>
      <c r="D58" s="117">
        <v>0.3</v>
      </c>
      <c r="E58" s="108">
        <v>30000</v>
      </c>
      <c r="F58" s="96">
        <f>E58*D58</f>
        <v>9000</v>
      </c>
      <c r="G58" s="96"/>
      <c r="H58" s="96"/>
      <c r="I58" s="96"/>
    </row>
    <row r="59" spans="1:9" ht="15.75" thickBot="1" x14ac:dyDescent="0.3">
      <c r="A59" s="45"/>
      <c r="B59" s="89" t="s">
        <v>105</v>
      </c>
      <c r="C59" s="90" t="s">
        <v>106</v>
      </c>
      <c r="D59" s="117">
        <v>0.05</v>
      </c>
      <c r="E59" s="117">
        <v>29183.33</v>
      </c>
      <c r="F59" s="96"/>
      <c r="G59" s="96"/>
      <c r="H59" s="96">
        <f>E59*D59</f>
        <v>1459.1665000000003</v>
      </c>
      <c r="I59" s="96"/>
    </row>
    <row r="60" spans="1:9" s="86" customFormat="1" ht="15.75" thickBot="1" x14ac:dyDescent="0.3">
      <c r="A60" s="10"/>
      <c r="B60" s="11" t="s">
        <v>17</v>
      </c>
      <c r="C60" s="19" t="s">
        <v>42</v>
      </c>
      <c r="D60" s="19"/>
      <c r="E60" s="52">
        <f>SUM(F60:I60)</f>
        <v>14024.166499999999</v>
      </c>
      <c r="F60" s="121">
        <f>SUM(F56:F59)</f>
        <v>12565</v>
      </c>
      <c r="G60" s="54">
        <f>SUM(G56:G59)</f>
        <v>0</v>
      </c>
      <c r="H60" s="54">
        <f>SUM(H56:H59)</f>
        <v>1459.1665000000003</v>
      </c>
      <c r="I60" s="120">
        <f>SUM(I56:I59)</f>
        <v>0</v>
      </c>
    </row>
    <row r="61" spans="1:9" s="86" customFormat="1" ht="15.75" thickBot="1" x14ac:dyDescent="0.3">
      <c r="B61" s="99"/>
      <c r="C61" s="99"/>
      <c r="D61" s="99"/>
      <c r="E61" s="97"/>
      <c r="F61" s="97"/>
      <c r="G61" s="97"/>
      <c r="H61" s="97"/>
      <c r="I61" s="98"/>
    </row>
    <row r="62" spans="1:9" x14ac:dyDescent="0.25">
      <c r="A62" s="84" t="str">
        <f>'PRESUP-SOT-3P'!A14</f>
        <v>01,07</v>
      </c>
      <c r="B62" s="47" t="str">
        <f>'PRESUP-SOT-3P'!B14</f>
        <v>Desalojo de Material Sobrante</v>
      </c>
      <c r="C62" s="48" t="s">
        <v>11</v>
      </c>
      <c r="D62" s="48" t="s">
        <v>12</v>
      </c>
      <c r="E62" s="49" t="s">
        <v>5</v>
      </c>
      <c r="F62" s="50" t="s">
        <v>13</v>
      </c>
      <c r="G62" s="50" t="s">
        <v>14</v>
      </c>
      <c r="H62" s="50" t="s">
        <v>15</v>
      </c>
      <c r="I62" s="51" t="s">
        <v>16</v>
      </c>
    </row>
    <row r="63" spans="1:9" x14ac:dyDescent="0.25">
      <c r="A63" s="45"/>
      <c r="B63" s="89" t="s">
        <v>88</v>
      </c>
      <c r="C63" s="90" t="s">
        <v>89</v>
      </c>
      <c r="D63" s="117">
        <v>0.1</v>
      </c>
      <c r="E63" s="117">
        <v>90000</v>
      </c>
      <c r="F63" s="96">
        <f t="shared" ref="F63:F68" si="3">E63*D63</f>
        <v>9000</v>
      </c>
      <c r="G63" s="96"/>
      <c r="H63" s="96"/>
      <c r="I63" s="96"/>
    </row>
    <row r="64" spans="1:9" x14ac:dyDescent="0.25">
      <c r="A64" s="45"/>
      <c r="B64" s="89" t="s">
        <v>98</v>
      </c>
      <c r="C64" s="90" t="s">
        <v>65</v>
      </c>
      <c r="D64" s="117">
        <v>0.05</v>
      </c>
      <c r="E64" s="117">
        <v>5040.2</v>
      </c>
      <c r="F64" s="96">
        <f t="shared" si="3"/>
        <v>252.01</v>
      </c>
      <c r="G64" s="96"/>
      <c r="H64" s="96"/>
      <c r="I64" s="96"/>
    </row>
    <row r="65" spans="1:9" x14ac:dyDescent="0.25">
      <c r="A65" s="45"/>
      <c r="B65" s="89" t="s">
        <v>90</v>
      </c>
      <c r="C65" s="90" t="s">
        <v>91</v>
      </c>
      <c r="D65" s="117">
        <v>0.1</v>
      </c>
      <c r="E65" s="117">
        <v>15000</v>
      </c>
      <c r="F65" s="96">
        <f t="shared" si="3"/>
        <v>1500</v>
      </c>
      <c r="G65" s="96"/>
      <c r="H65" s="96"/>
      <c r="I65" s="96"/>
    </row>
    <row r="66" spans="1:9" x14ac:dyDescent="0.25">
      <c r="A66" s="45"/>
      <c r="B66" s="89" t="s">
        <v>100</v>
      </c>
      <c r="C66" s="90" t="s">
        <v>65</v>
      </c>
      <c r="D66" s="117">
        <v>0.05</v>
      </c>
      <c r="E66" s="117">
        <v>11522.83</v>
      </c>
      <c r="F66" s="96">
        <f t="shared" si="3"/>
        <v>576.14150000000006</v>
      </c>
      <c r="G66" s="96"/>
      <c r="H66" s="96"/>
      <c r="I66" s="96"/>
    </row>
    <row r="67" spans="1:9" x14ac:dyDescent="0.25">
      <c r="A67" s="45"/>
      <c r="B67" s="89" t="s">
        <v>102</v>
      </c>
      <c r="C67" s="90" t="s">
        <v>65</v>
      </c>
      <c r="D67" s="117">
        <v>0.05</v>
      </c>
      <c r="E67" s="117">
        <v>17400</v>
      </c>
      <c r="F67" s="96">
        <f t="shared" si="3"/>
        <v>870</v>
      </c>
      <c r="G67" s="96"/>
      <c r="H67" s="96"/>
      <c r="I67" s="96"/>
    </row>
    <row r="68" spans="1:9" x14ac:dyDescent="0.25">
      <c r="A68" s="45"/>
      <c r="B68" s="89" t="s">
        <v>103</v>
      </c>
      <c r="C68" s="90" t="s">
        <v>65</v>
      </c>
      <c r="D68" s="117">
        <v>0.5</v>
      </c>
      <c r="E68" s="117">
        <v>3723</v>
      </c>
      <c r="F68" s="96">
        <f t="shared" si="3"/>
        <v>1861.5</v>
      </c>
      <c r="G68" s="96"/>
      <c r="H68" s="96"/>
      <c r="I68" s="96"/>
    </row>
    <row r="69" spans="1:9" ht="15.75" thickBot="1" x14ac:dyDescent="0.3">
      <c r="A69" s="45"/>
      <c r="B69" s="89" t="s">
        <v>115</v>
      </c>
      <c r="C69" s="90" t="s">
        <v>110</v>
      </c>
      <c r="D69" s="117">
        <v>0.02</v>
      </c>
      <c r="E69" s="117">
        <v>166733.32999999999</v>
      </c>
      <c r="F69" s="96"/>
      <c r="G69" s="96"/>
      <c r="H69" s="96">
        <f>E69*D69</f>
        <v>3334.6666</v>
      </c>
      <c r="I69" s="96"/>
    </row>
    <row r="70" spans="1:9" s="86" customFormat="1" ht="15.75" thickBot="1" x14ac:dyDescent="0.3">
      <c r="A70" s="10"/>
      <c r="B70" s="11" t="s">
        <v>17</v>
      </c>
      <c r="C70" s="19" t="s">
        <v>42</v>
      </c>
      <c r="D70" s="19"/>
      <c r="E70" s="115">
        <f>SUM(F70+G70+H70+I70)</f>
        <v>17394.3181</v>
      </c>
      <c r="F70" s="53">
        <f>SUM(F63:F69)</f>
        <v>14059.6515</v>
      </c>
      <c r="G70" s="54">
        <f>SUM(G63:G69)</f>
        <v>0</v>
      </c>
      <c r="H70" s="54">
        <f>SUM(H63:H69)</f>
        <v>3334.6666</v>
      </c>
      <c r="I70" s="120">
        <f>SUM(I63:I69)</f>
        <v>0</v>
      </c>
    </row>
    <row r="71" spans="1:9" s="86" customFormat="1" x14ac:dyDescent="0.25">
      <c r="A71" s="66"/>
      <c r="B71" s="61"/>
      <c r="C71" s="61"/>
      <c r="D71" s="61"/>
      <c r="E71" s="59"/>
      <c r="F71" s="61"/>
      <c r="G71" s="85"/>
      <c r="H71" s="85"/>
      <c r="I71" s="61"/>
    </row>
    <row r="72" spans="1:9" s="86" customFormat="1" ht="13.5" customHeight="1" thickBot="1" x14ac:dyDescent="0.3">
      <c r="B72" s="61"/>
      <c r="C72" s="61"/>
      <c r="D72" s="61"/>
      <c r="E72" s="60"/>
      <c r="F72" s="61"/>
      <c r="G72" s="100"/>
      <c r="H72" s="100"/>
      <c r="I72" s="61"/>
    </row>
    <row r="73" spans="1:9" s="86" customFormat="1" ht="25.5" x14ac:dyDescent="0.25">
      <c r="A73" s="84" t="str">
        <f>'PRESUP-SOT-3P'!A18</f>
        <v>02.01</v>
      </c>
      <c r="B73" s="47" t="str">
        <f>'PRESUP-SOT-3P'!B18</f>
        <v>Capa de protección de la tuberia en arena blanca Epromedio=0,03m</v>
      </c>
      <c r="C73" s="48" t="s">
        <v>11</v>
      </c>
      <c r="D73" s="48" t="s">
        <v>12</v>
      </c>
      <c r="E73" s="49" t="s">
        <v>5</v>
      </c>
      <c r="F73" s="50" t="s">
        <v>13</v>
      </c>
      <c r="G73" s="50" t="s">
        <v>14</v>
      </c>
      <c r="H73" s="50" t="s">
        <v>15</v>
      </c>
      <c r="I73" s="51" t="s">
        <v>16</v>
      </c>
    </row>
    <row r="74" spans="1:9" x14ac:dyDescent="0.25">
      <c r="A74" s="45"/>
      <c r="B74" s="89" t="s">
        <v>98</v>
      </c>
      <c r="C74" s="90" t="s">
        <v>65</v>
      </c>
      <c r="D74" s="117">
        <v>0.05</v>
      </c>
      <c r="E74" s="117">
        <v>5040.2</v>
      </c>
      <c r="F74" s="123">
        <f>E74*D74</f>
        <v>252.01</v>
      </c>
      <c r="G74" s="96"/>
      <c r="H74" s="96" t="s">
        <v>1</v>
      </c>
      <c r="I74" s="96" t="s">
        <v>1</v>
      </c>
    </row>
    <row r="75" spans="1:9" x14ac:dyDescent="0.25">
      <c r="A75" s="45"/>
      <c r="B75" s="89" t="s">
        <v>90</v>
      </c>
      <c r="C75" s="90" t="s">
        <v>91</v>
      </c>
      <c r="D75" s="117">
        <v>0.05</v>
      </c>
      <c r="E75" s="117">
        <v>15000</v>
      </c>
      <c r="F75" s="123">
        <f>E75*D75</f>
        <v>750</v>
      </c>
      <c r="G75" s="96"/>
      <c r="H75" s="96" t="s">
        <v>1</v>
      </c>
      <c r="I75" s="96" t="s">
        <v>1</v>
      </c>
    </row>
    <row r="76" spans="1:9" x14ac:dyDescent="0.25">
      <c r="A76" s="45"/>
      <c r="B76" s="89" t="s">
        <v>116</v>
      </c>
      <c r="C76" s="90" t="s">
        <v>65</v>
      </c>
      <c r="D76" s="117">
        <v>0.06</v>
      </c>
      <c r="E76" s="117">
        <v>13688</v>
      </c>
      <c r="F76" s="123">
        <f>E76*D76</f>
        <v>821.28</v>
      </c>
      <c r="G76" s="96"/>
      <c r="H76" s="96"/>
      <c r="I76" s="96" t="s">
        <v>1</v>
      </c>
    </row>
    <row r="77" spans="1:9" x14ac:dyDescent="0.25">
      <c r="A77" s="45"/>
      <c r="B77" s="89" t="s">
        <v>108</v>
      </c>
      <c r="C77" s="90" t="s">
        <v>65</v>
      </c>
      <c r="D77" s="117">
        <v>0.04</v>
      </c>
      <c r="E77" s="117">
        <v>18560</v>
      </c>
      <c r="F77" s="123">
        <f>E77*D77</f>
        <v>742.4</v>
      </c>
      <c r="G77" s="96"/>
      <c r="H77" s="96"/>
      <c r="I77" s="96"/>
    </row>
    <row r="78" spans="1:9" x14ac:dyDescent="0.25">
      <c r="A78" s="45"/>
      <c r="B78" s="89" t="s">
        <v>103</v>
      </c>
      <c r="C78" s="90" t="s">
        <v>65</v>
      </c>
      <c r="D78" s="117">
        <v>0.04</v>
      </c>
      <c r="E78" s="117">
        <v>3723</v>
      </c>
      <c r="F78" s="123">
        <f>E78*D78</f>
        <v>148.92000000000002</v>
      </c>
      <c r="G78" s="96"/>
      <c r="H78" s="96"/>
      <c r="I78" s="96"/>
    </row>
    <row r="79" spans="1:9" x14ac:dyDescent="0.25">
      <c r="A79" s="45"/>
      <c r="B79" s="89" t="s">
        <v>117</v>
      </c>
      <c r="C79" s="90" t="s">
        <v>53</v>
      </c>
      <c r="D79" s="117">
        <v>1.05</v>
      </c>
      <c r="E79" s="117">
        <v>48000</v>
      </c>
      <c r="F79" s="123"/>
      <c r="G79" s="96">
        <f>(D79*E79)</f>
        <v>50400</v>
      </c>
      <c r="H79" s="96"/>
      <c r="I79" s="96"/>
    </row>
    <row r="80" spans="1:9" ht="15.75" thickBot="1" x14ac:dyDescent="0.3">
      <c r="A80" s="45"/>
      <c r="B80" s="89" t="s">
        <v>118</v>
      </c>
      <c r="C80" s="90" t="s">
        <v>110</v>
      </c>
      <c r="D80" s="117">
        <v>0.1</v>
      </c>
      <c r="E80" s="117">
        <v>58366.66</v>
      </c>
      <c r="F80" s="123"/>
      <c r="G80" s="96"/>
      <c r="H80" s="96">
        <f>E80*D80</f>
        <v>5836.6660000000011</v>
      </c>
      <c r="I80" s="96" t="s">
        <v>1</v>
      </c>
    </row>
    <row r="81" spans="1:9" s="86" customFormat="1" ht="15.75" thickBot="1" x14ac:dyDescent="0.3">
      <c r="A81" s="10"/>
      <c r="B81" s="11" t="s">
        <v>34</v>
      </c>
      <c r="C81" s="19" t="s">
        <v>42</v>
      </c>
      <c r="D81" s="19"/>
      <c r="E81" s="52">
        <f>+F81+G81+H81+I81</f>
        <v>58951.275999999998</v>
      </c>
      <c r="F81" s="53">
        <f>SUM(F74:F80)</f>
        <v>2714.61</v>
      </c>
      <c r="G81" s="54">
        <f>SUM(G74:G80)</f>
        <v>50400</v>
      </c>
      <c r="H81" s="54">
        <f>SUM(H74:H80)</f>
        <v>5836.6660000000011</v>
      </c>
      <c r="I81" s="51">
        <f>SUM(I74:I80)</f>
        <v>0</v>
      </c>
    </row>
    <row r="82" spans="1:9" s="86" customFormat="1" ht="13.5" customHeight="1" thickBot="1" x14ac:dyDescent="0.3">
      <c r="B82" s="61"/>
      <c r="C82" s="61"/>
      <c r="D82" s="61"/>
      <c r="E82" s="60"/>
      <c r="F82" s="61"/>
      <c r="G82" s="100"/>
      <c r="H82" s="100"/>
      <c r="I82" s="61"/>
    </row>
    <row r="83" spans="1:9" ht="38.25" x14ac:dyDescent="0.25">
      <c r="A83" s="46" t="str">
        <f>'PRESUP-SOT-3P'!A19</f>
        <v>02.02</v>
      </c>
      <c r="B83" s="47" t="str">
        <f>'PRESUP-SOT-3P'!B19</f>
        <v>Sum. e instalación de material para cama de cimentación 50% triturado - 50% recebo compactado mecanicamente (según detalle)</v>
      </c>
      <c r="C83" s="48" t="s">
        <v>11</v>
      </c>
      <c r="D83" s="48" t="s">
        <v>12</v>
      </c>
      <c r="E83" s="49" t="s">
        <v>5</v>
      </c>
      <c r="F83" s="50" t="s">
        <v>13</v>
      </c>
      <c r="G83" s="50" t="s">
        <v>14</v>
      </c>
      <c r="H83" s="50" t="s">
        <v>15</v>
      </c>
      <c r="I83" s="51" t="s">
        <v>16</v>
      </c>
    </row>
    <row r="84" spans="1:9" x14ac:dyDescent="0.25">
      <c r="A84" s="45"/>
      <c r="B84" s="89" t="s">
        <v>119</v>
      </c>
      <c r="C84" s="90" t="s">
        <v>106</v>
      </c>
      <c r="D84" s="117">
        <v>0.04</v>
      </c>
      <c r="E84" s="117">
        <v>27500</v>
      </c>
      <c r="F84" s="96">
        <f>E84*D84</f>
        <v>1100</v>
      </c>
      <c r="G84" s="96"/>
      <c r="H84" s="96"/>
      <c r="I84" s="96"/>
    </row>
    <row r="85" spans="1:9" x14ac:dyDescent="0.25">
      <c r="A85" s="45"/>
      <c r="B85" s="89" t="s">
        <v>98</v>
      </c>
      <c r="C85" s="90" t="s">
        <v>65</v>
      </c>
      <c r="D85" s="117">
        <v>0.1</v>
      </c>
      <c r="E85" s="117">
        <v>5040.2</v>
      </c>
      <c r="F85" s="96">
        <f>E85*D85</f>
        <v>504.02</v>
      </c>
      <c r="G85" s="96"/>
      <c r="H85" s="96"/>
      <c r="I85" s="96"/>
    </row>
    <row r="86" spans="1:9" x14ac:dyDescent="0.25">
      <c r="A86" s="45"/>
      <c r="B86" s="89" t="s">
        <v>90</v>
      </c>
      <c r="C86" s="90" t="s">
        <v>91</v>
      </c>
      <c r="D86" s="117">
        <v>0.06</v>
      </c>
      <c r="E86" s="117">
        <v>15000</v>
      </c>
      <c r="F86" s="96">
        <f>E86*D86</f>
        <v>900</v>
      </c>
      <c r="G86" s="96"/>
      <c r="H86" s="96"/>
      <c r="I86" s="96"/>
    </row>
    <row r="87" spans="1:9" x14ac:dyDescent="0.25">
      <c r="A87" s="45"/>
      <c r="B87" s="89" t="s">
        <v>102</v>
      </c>
      <c r="C87" s="90" t="s">
        <v>65</v>
      </c>
      <c r="D87" s="117">
        <v>0.01</v>
      </c>
      <c r="E87" s="117">
        <v>17400</v>
      </c>
      <c r="F87" s="96">
        <f>E87*D87</f>
        <v>174</v>
      </c>
      <c r="G87" s="96"/>
      <c r="H87" s="96"/>
      <c r="I87" s="96"/>
    </row>
    <row r="88" spans="1:9" x14ac:dyDescent="0.25">
      <c r="A88" s="45"/>
      <c r="B88" s="89" t="s">
        <v>103</v>
      </c>
      <c r="C88" s="90" t="s">
        <v>65</v>
      </c>
      <c r="D88" s="117">
        <v>0.1</v>
      </c>
      <c r="E88" s="117">
        <v>3723</v>
      </c>
      <c r="F88" s="96">
        <f>E88*D88</f>
        <v>372.3</v>
      </c>
      <c r="G88" s="96"/>
      <c r="H88" s="96"/>
      <c r="I88" s="96"/>
    </row>
    <row r="89" spans="1:9" x14ac:dyDescent="0.25">
      <c r="A89" s="45"/>
      <c r="B89" s="89" t="s">
        <v>120</v>
      </c>
      <c r="C89" s="90" t="s">
        <v>53</v>
      </c>
      <c r="D89" s="117">
        <v>0.52500000000000002</v>
      </c>
      <c r="E89" s="117">
        <v>27000</v>
      </c>
      <c r="F89" s="96"/>
      <c r="G89" s="96">
        <f>E89*D89</f>
        <v>14175</v>
      </c>
      <c r="H89" s="96"/>
      <c r="I89" s="96"/>
    </row>
    <row r="90" spans="1:9" x14ac:dyDescent="0.25">
      <c r="A90" s="45"/>
      <c r="B90" s="89" t="s">
        <v>121</v>
      </c>
      <c r="C90" s="90" t="s">
        <v>53</v>
      </c>
      <c r="D90" s="117">
        <v>0.52500000000000002</v>
      </c>
      <c r="E90" s="117">
        <v>68000</v>
      </c>
      <c r="F90" s="96"/>
      <c r="G90" s="96">
        <f>E90*D90</f>
        <v>35700</v>
      </c>
      <c r="H90" s="96"/>
      <c r="I90" s="96"/>
    </row>
    <row r="91" spans="1:9" x14ac:dyDescent="0.25">
      <c r="A91" s="45"/>
      <c r="B91" s="89" t="s">
        <v>93</v>
      </c>
      <c r="C91" s="90" t="s">
        <v>65</v>
      </c>
      <c r="D91" s="117">
        <v>0.01</v>
      </c>
      <c r="E91" s="117">
        <v>19638</v>
      </c>
      <c r="F91" s="96"/>
      <c r="G91" s="96">
        <f>E91*D91</f>
        <v>196.38</v>
      </c>
      <c r="H91" s="96"/>
      <c r="I91" s="96"/>
    </row>
    <row r="92" spans="1:9" ht="15.75" thickBot="1" x14ac:dyDescent="0.3">
      <c r="A92" s="45"/>
      <c r="B92" s="89" t="s">
        <v>122</v>
      </c>
      <c r="C92" s="90" t="s">
        <v>53</v>
      </c>
      <c r="D92" s="117">
        <v>2</v>
      </c>
      <c r="E92" s="117">
        <v>4500</v>
      </c>
      <c r="F92" s="96"/>
      <c r="G92" s="96"/>
      <c r="H92" s="96">
        <f>E92*D92</f>
        <v>9000</v>
      </c>
      <c r="I92" s="96"/>
    </row>
    <row r="93" spans="1:9" s="86" customFormat="1" ht="15.75" thickBot="1" x14ac:dyDescent="0.3">
      <c r="A93" s="10"/>
      <c r="B93" s="11" t="s">
        <v>17</v>
      </c>
      <c r="C93" s="19" t="s">
        <v>42</v>
      </c>
      <c r="D93" s="19"/>
      <c r="E93" s="52">
        <f>SUM(F93+G93+H93+I93)</f>
        <v>62121.7</v>
      </c>
      <c r="F93" s="121">
        <f>SUM(F84:F92)</f>
        <v>3050.32</v>
      </c>
      <c r="G93" s="54">
        <f>SUM(G84:G92)</f>
        <v>50071.38</v>
      </c>
      <c r="H93" s="54">
        <f>SUM(H84:H92)</f>
        <v>9000</v>
      </c>
      <c r="I93" s="124">
        <f>SUM(I84:I92)</f>
        <v>0</v>
      </c>
    </row>
    <row r="94" spans="1:9" ht="15.75" thickBot="1" x14ac:dyDescent="0.3"/>
    <row r="95" spans="1:9" ht="25.5" x14ac:dyDescent="0.25">
      <c r="A95" s="84" t="str">
        <f>'PRESUP-SOT-3P'!A20</f>
        <v>02.03</v>
      </c>
      <c r="B95" s="47" t="str">
        <f>'PRESUP-SOT-3P'!B20</f>
        <v>Relleno inicial con recebo por encima de la clave compactado manualmente (según detalle)</v>
      </c>
      <c r="C95" s="48" t="s">
        <v>11</v>
      </c>
      <c r="D95" s="48" t="s">
        <v>12</v>
      </c>
      <c r="E95" s="49" t="s">
        <v>5</v>
      </c>
      <c r="F95" s="50" t="s">
        <v>13</v>
      </c>
      <c r="G95" s="50" t="s">
        <v>14</v>
      </c>
      <c r="H95" s="50" t="s">
        <v>15</v>
      </c>
      <c r="I95" s="51" t="s">
        <v>16</v>
      </c>
    </row>
    <row r="96" spans="1:9" x14ac:dyDescent="0.25">
      <c r="A96" s="45"/>
      <c r="B96" s="89" t="s">
        <v>119</v>
      </c>
      <c r="C96" s="90" t="s">
        <v>106</v>
      </c>
      <c r="D96" s="117">
        <v>0.04</v>
      </c>
      <c r="E96" s="117">
        <v>27500</v>
      </c>
      <c r="F96" s="96">
        <f>E96*D96</f>
        <v>1100</v>
      </c>
      <c r="G96" s="96"/>
      <c r="H96" s="96"/>
      <c r="I96" s="96"/>
    </row>
    <row r="97" spans="1:10" x14ac:dyDescent="0.25">
      <c r="A97" s="45"/>
      <c r="B97" s="89" t="s">
        <v>98</v>
      </c>
      <c r="C97" s="90" t="s">
        <v>65</v>
      </c>
      <c r="D97" s="117">
        <v>0.1</v>
      </c>
      <c r="E97" s="117">
        <v>5040.2</v>
      </c>
      <c r="F97" s="96">
        <f t="shared" ref="F97:F102" si="4">E97*D97</f>
        <v>504.02</v>
      </c>
      <c r="G97" s="96"/>
      <c r="H97" s="96"/>
      <c r="I97" s="96"/>
    </row>
    <row r="98" spans="1:10" x14ac:dyDescent="0.25">
      <c r="A98" s="45"/>
      <c r="B98" s="89" t="s">
        <v>90</v>
      </c>
      <c r="C98" s="90" t="s">
        <v>91</v>
      </c>
      <c r="D98" s="117">
        <v>0.06</v>
      </c>
      <c r="E98" s="117">
        <v>15000</v>
      </c>
      <c r="F98" s="96">
        <f t="shared" si="4"/>
        <v>900</v>
      </c>
      <c r="G98" s="96"/>
      <c r="H98" s="96"/>
      <c r="I98" s="96"/>
    </row>
    <row r="99" spans="1:10" x14ac:dyDescent="0.25">
      <c r="A99" s="45"/>
      <c r="B99" s="89" t="s">
        <v>102</v>
      </c>
      <c r="C99" s="90" t="s">
        <v>65</v>
      </c>
      <c r="D99" s="117">
        <v>0.01</v>
      </c>
      <c r="E99" s="117">
        <v>17400</v>
      </c>
      <c r="F99" s="96">
        <f t="shared" si="4"/>
        <v>174</v>
      </c>
      <c r="G99" s="96"/>
      <c r="H99" s="96"/>
      <c r="I99" s="96"/>
    </row>
    <row r="100" spans="1:10" x14ac:dyDescent="0.25">
      <c r="A100" s="45"/>
      <c r="B100" s="89" t="s">
        <v>103</v>
      </c>
      <c r="C100" s="90" t="s">
        <v>65</v>
      </c>
      <c r="D100" s="117">
        <v>0.1</v>
      </c>
      <c r="E100" s="117">
        <v>3723</v>
      </c>
      <c r="F100" s="96">
        <f t="shared" si="4"/>
        <v>372.3</v>
      </c>
      <c r="G100" s="96"/>
      <c r="H100" s="96"/>
      <c r="I100" s="96"/>
    </row>
    <row r="101" spans="1:10" x14ac:dyDescent="0.25">
      <c r="A101" s="45"/>
      <c r="B101" s="89" t="s">
        <v>120</v>
      </c>
      <c r="C101" s="90" t="s">
        <v>53</v>
      </c>
      <c r="D101" s="117">
        <v>1.3</v>
      </c>
      <c r="E101" s="117">
        <v>27000</v>
      </c>
      <c r="F101" s="96">
        <f t="shared" si="4"/>
        <v>35100</v>
      </c>
      <c r="G101" s="96"/>
      <c r="H101" s="96"/>
      <c r="I101" s="96"/>
    </row>
    <row r="102" spans="1:10" x14ac:dyDescent="0.25">
      <c r="A102" s="45"/>
      <c r="B102" s="89" t="s">
        <v>93</v>
      </c>
      <c r="C102" s="90" t="s">
        <v>65</v>
      </c>
      <c r="D102" s="117">
        <v>0.01</v>
      </c>
      <c r="E102" s="117">
        <v>19638</v>
      </c>
      <c r="F102" s="96">
        <f t="shared" si="4"/>
        <v>196.38</v>
      </c>
      <c r="G102" s="96"/>
      <c r="H102" s="96"/>
      <c r="I102" s="96"/>
    </row>
    <row r="103" spans="1:10" ht="15.75" thickBot="1" x14ac:dyDescent="0.3">
      <c r="A103" s="45"/>
      <c r="B103" s="89" t="s">
        <v>122</v>
      </c>
      <c r="C103" s="90" t="s">
        <v>53</v>
      </c>
      <c r="D103" s="117">
        <v>2</v>
      </c>
      <c r="E103" s="117">
        <v>4500</v>
      </c>
      <c r="F103" s="96"/>
      <c r="G103" s="96"/>
      <c r="H103" s="96">
        <f>E103*D103</f>
        <v>9000</v>
      </c>
      <c r="I103" s="96"/>
    </row>
    <row r="104" spans="1:10" ht="15.75" thickBot="1" x14ac:dyDescent="0.3">
      <c r="A104" s="10"/>
      <c r="B104" s="11" t="s">
        <v>17</v>
      </c>
      <c r="C104" s="19" t="s">
        <v>42</v>
      </c>
      <c r="D104" s="19"/>
      <c r="E104" s="52">
        <f>SUM(F104:I104)</f>
        <v>47346.7</v>
      </c>
      <c r="F104" s="53">
        <f>SUM(F96:F103)</f>
        <v>38346.699999999997</v>
      </c>
      <c r="G104" s="54">
        <f>SUM(G96:G103)</f>
        <v>0</v>
      </c>
      <c r="H104" s="54">
        <f>SUM(H96:H103)</f>
        <v>9000</v>
      </c>
      <c r="I104" s="124">
        <f>SUM(I96:I103)</f>
        <v>0</v>
      </c>
      <c r="J104" s="86"/>
    </row>
    <row r="105" spans="1:10" ht="15.75" thickBot="1" x14ac:dyDescent="0.3"/>
    <row r="106" spans="1:10" ht="25.5" x14ac:dyDescent="0.25">
      <c r="A106" s="84" t="str">
        <f>'PRESUP-SOT-3P'!A21</f>
        <v>02.04</v>
      </c>
      <c r="B106" s="47" t="str">
        <f>'PRESUP-SOT-3P'!B21</f>
        <v xml:space="preserve">Relleno con material de excavación, compactación mecánica </v>
      </c>
      <c r="C106" s="48" t="s">
        <v>11</v>
      </c>
      <c r="D106" s="48" t="s">
        <v>12</v>
      </c>
      <c r="E106" s="49" t="s">
        <v>5</v>
      </c>
      <c r="F106" s="50" t="s">
        <v>13</v>
      </c>
      <c r="G106" s="50" t="s">
        <v>14</v>
      </c>
      <c r="H106" s="50" t="s">
        <v>15</v>
      </c>
      <c r="I106" s="51" t="s">
        <v>16</v>
      </c>
      <c r="J106" s="86"/>
    </row>
    <row r="107" spans="1:10" x14ac:dyDescent="0.25">
      <c r="A107" s="45"/>
      <c r="B107" s="89" t="s">
        <v>123</v>
      </c>
      <c r="C107" s="90" t="s">
        <v>40</v>
      </c>
      <c r="D107" s="117">
        <v>0.4</v>
      </c>
      <c r="E107" s="117">
        <v>7850</v>
      </c>
      <c r="F107" s="96">
        <f t="shared" ref="F107:F112" si="5">E107*D107</f>
        <v>3140</v>
      </c>
      <c r="G107" s="96"/>
      <c r="H107" s="96"/>
      <c r="I107" s="96"/>
    </row>
    <row r="108" spans="1:10" x14ac:dyDescent="0.25">
      <c r="A108" s="45"/>
      <c r="B108" s="89" t="s">
        <v>98</v>
      </c>
      <c r="C108" s="90" t="s">
        <v>65</v>
      </c>
      <c r="D108" s="117">
        <v>0.05</v>
      </c>
      <c r="E108" s="117">
        <v>5040.2</v>
      </c>
      <c r="F108" s="96">
        <f t="shared" si="5"/>
        <v>252.01</v>
      </c>
      <c r="G108" s="96"/>
      <c r="H108" s="96"/>
      <c r="I108" s="96"/>
    </row>
    <row r="109" spans="1:10" x14ac:dyDescent="0.25">
      <c r="A109" s="45"/>
      <c r="B109" s="89" t="s">
        <v>90</v>
      </c>
      <c r="C109" s="90" t="s">
        <v>91</v>
      </c>
      <c r="D109" s="117">
        <v>0.05</v>
      </c>
      <c r="E109" s="117">
        <v>15000</v>
      </c>
      <c r="F109" s="96">
        <f t="shared" si="5"/>
        <v>750</v>
      </c>
      <c r="G109" s="96"/>
      <c r="H109" s="96"/>
      <c r="I109" s="96"/>
    </row>
    <row r="110" spans="1:10" x14ac:dyDescent="0.25">
      <c r="A110" s="45"/>
      <c r="B110" s="89" t="s">
        <v>116</v>
      </c>
      <c r="C110" s="90" t="s">
        <v>65</v>
      </c>
      <c r="D110" s="117">
        <v>0.06</v>
      </c>
      <c r="E110" s="117">
        <v>13688</v>
      </c>
      <c r="F110" s="96">
        <f t="shared" si="5"/>
        <v>821.28</v>
      </c>
      <c r="G110" s="96"/>
      <c r="H110" s="96"/>
      <c r="I110" s="96"/>
    </row>
    <row r="111" spans="1:10" x14ac:dyDescent="0.25">
      <c r="A111" s="45"/>
      <c r="B111" s="89" t="s">
        <v>108</v>
      </c>
      <c r="C111" s="90" t="s">
        <v>65</v>
      </c>
      <c r="D111" s="117">
        <v>0.04</v>
      </c>
      <c r="E111" s="117">
        <v>18560</v>
      </c>
      <c r="F111" s="96">
        <f t="shared" si="5"/>
        <v>742.4</v>
      </c>
      <c r="G111" s="96"/>
      <c r="H111" s="96"/>
      <c r="I111" s="96"/>
    </row>
    <row r="112" spans="1:10" x14ac:dyDescent="0.25">
      <c r="A112" s="45"/>
      <c r="B112" s="89" t="s">
        <v>103</v>
      </c>
      <c r="C112" s="90" t="s">
        <v>65</v>
      </c>
      <c r="D112" s="117">
        <v>0.04</v>
      </c>
      <c r="E112" s="117">
        <v>3723</v>
      </c>
      <c r="F112" s="96">
        <f t="shared" si="5"/>
        <v>148.92000000000002</v>
      </c>
      <c r="G112" s="96"/>
      <c r="H112" s="96"/>
      <c r="I112" s="96"/>
    </row>
    <row r="113" spans="1:10" ht="15.75" thickBot="1" x14ac:dyDescent="0.3">
      <c r="A113" s="45"/>
      <c r="B113" s="89" t="s">
        <v>118</v>
      </c>
      <c r="C113" s="90" t="s">
        <v>110</v>
      </c>
      <c r="D113" s="117">
        <v>0.15</v>
      </c>
      <c r="E113" s="117">
        <v>58366.66</v>
      </c>
      <c r="F113" s="96"/>
      <c r="G113" s="96"/>
      <c r="H113" s="96">
        <f>E113*D113</f>
        <v>8754.9989999999998</v>
      </c>
      <c r="I113" s="96"/>
    </row>
    <row r="114" spans="1:10" ht="15.75" thickBot="1" x14ac:dyDescent="0.3">
      <c r="A114" s="10"/>
      <c r="B114" s="11" t="s">
        <v>17</v>
      </c>
      <c r="C114" s="19" t="s">
        <v>42</v>
      </c>
      <c r="D114" s="19"/>
      <c r="E114" s="52">
        <f>SUM(F114:I114)</f>
        <v>14609.609</v>
      </c>
      <c r="F114" s="53">
        <f>SUM(F107:F113)</f>
        <v>5854.61</v>
      </c>
      <c r="G114" s="54">
        <f>SUM(G107:G113)</f>
        <v>0</v>
      </c>
      <c r="H114" s="54">
        <f>SUM(H107:H113)</f>
        <v>8754.9989999999998</v>
      </c>
      <c r="I114" s="124">
        <f>SUM(I107:I113)</f>
        <v>0</v>
      </c>
      <c r="J114" s="86"/>
    </row>
    <row r="115" spans="1:10" ht="15.75" thickBot="1" x14ac:dyDescent="0.3">
      <c r="A115" s="66"/>
      <c r="B115" s="61"/>
      <c r="C115" s="61"/>
      <c r="D115" s="61"/>
      <c r="E115" s="59"/>
      <c r="F115" s="61"/>
      <c r="G115" s="85"/>
      <c r="H115" s="85"/>
      <c r="I115" s="61"/>
      <c r="J115" s="86"/>
    </row>
    <row r="116" spans="1:10" x14ac:dyDescent="0.25">
      <c r="A116" s="84" t="str">
        <f>'PRESUP-SOT-3P'!A22</f>
        <v>02.05</v>
      </c>
      <c r="B116" s="47" t="str">
        <f>'PRESUP-SOT-3P'!B22</f>
        <v xml:space="preserve">Relleno material de prestamo compactado </v>
      </c>
      <c r="C116" s="48" t="s">
        <v>11</v>
      </c>
      <c r="D116" s="48" t="s">
        <v>12</v>
      </c>
      <c r="E116" s="49" t="s">
        <v>5</v>
      </c>
      <c r="F116" s="50" t="s">
        <v>13</v>
      </c>
      <c r="G116" s="50" t="s">
        <v>14</v>
      </c>
      <c r="H116" s="50" t="s">
        <v>15</v>
      </c>
      <c r="I116" s="51" t="s">
        <v>16</v>
      </c>
    </row>
    <row r="117" spans="1:10" x14ac:dyDescent="0.25">
      <c r="A117" s="45"/>
      <c r="B117" s="89" t="s">
        <v>124</v>
      </c>
      <c r="C117" s="90" t="s">
        <v>125</v>
      </c>
      <c r="D117" s="117">
        <v>2</v>
      </c>
      <c r="E117" s="117">
        <v>4000</v>
      </c>
      <c r="F117" s="96">
        <f>E117*D117</f>
        <v>8000</v>
      </c>
      <c r="G117" s="96"/>
      <c r="H117" s="96"/>
      <c r="I117" s="96"/>
    </row>
    <row r="118" spans="1:10" x14ac:dyDescent="0.25">
      <c r="A118" s="45"/>
      <c r="B118" s="89" t="s">
        <v>98</v>
      </c>
      <c r="C118" s="90" t="s">
        <v>65</v>
      </c>
      <c r="D118" s="117">
        <v>0.1</v>
      </c>
      <c r="E118" s="117">
        <v>5040.2</v>
      </c>
      <c r="F118" s="96">
        <f t="shared" ref="F118:F123" si="6">E118*D118</f>
        <v>504.02</v>
      </c>
      <c r="G118" s="96"/>
      <c r="H118" s="96"/>
      <c r="I118" s="96"/>
    </row>
    <row r="119" spans="1:10" x14ac:dyDescent="0.25">
      <c r="A119" s="45"/>
      <c r="B119" s="89" t="s">
        <v>90</v>
      </c>
      <c r="C119" s="90" t="s">
        <v>91</v>
      </c>
      <c r="D119" s="117">
        <v>0.06</v>
      </c>
      <c r="E119" s="117">
        <v>15000</v>
      </c>
      <c r="F119" s="96">
        <f t="shared" si="6"/>
        <v>900</v>
      </c>
      <c r="G119" s="96"/>
      <c r="H119" s="96"/>
      <c r="I119" s="96"/>
    </row>
    <row r="120" spans="1:10" x14ac:dyDescent="0.25">
      <c r="A120" s="45"/>
      <c r="B120" s="89" t="s">
        <v>102</v>
      </c>
      <c r="C120" s="90" t="s">
        <v>65</v>
      </c>
      <c r="D120" s="117">
        <v>0.01</v>
      </c>
      <c r="E120" s="117">
        <v>17400</v>
      </c>
      <c r="F120" s="96">
        <f t="shared" si="6"/>
        <v>174</v>
      </c>
      <c r="G120" s="96"/>
      <c r="H120" s="96"/>
      <c r="I120" s="96"/>
    </row>
    <row r="121" spans="1:10" x14ac:dyDescent="0.25">
      <c r="A121" s="45"/>
      <c r="B121" s="89" t="s">
        <v>103</v>
      </c>
      <c r="C121" s="90" t="s">
        <v>65</v>
      </c>
      <c r="D121" s="117">
        <v>0.1</v>
      </c>
      <c r="E121" s="117">
        <v>3723</v>
      </c>
      <c r="F121" s="96">
        <f t="shared" si="6"/>
        <v>372.3</v>
      </c>
      <c r="G121" s="96"/>
      <c r="H121" s="96"/>
      <c r="I121" s="96"/>
    </row>
    <row r="122" spans="1:10" x14ac:dyDescent="0.25">
      <c r="A122" s="45"/>
      <c r="B122" s="89" t="s">
        <v>126</v>
      </c>
      <c r="C122" s="90" t="s">
        <v>53</v>
      </c>
      <c r="D122" s="117">
        <v>1</v>
      </c>
      <c r="E122" s="117">
        <v>25000</v>
      </c>
      <c r="F122" s="96">
        <f t="shared" si="6"/>
        <v>25000</v>
      </c>
      <c r="G122" s="96"/>
      <c r="H122" s="96"/>
      <c r="I122" s="96"/>
    </row>
    <row r="123" spans="1:10" x14ac:dyDescent="0.25">
      <c r="A123" s="45"/>
      <c r="B123" s="89" t="s">
        <v>93</v>
      </c>
      <c r="C123" s="90" t="s">
        <v>65</v>
      </c>
      <c r="D123" s="117">
        <v>0.01</v>
      </c>
      <c r="E123" s="117">
        <v>19638</v>
      </c>
      <c r="F123" s="96">
        <f t="shared" si="6"/>
        <v>196.38</v>
      </c>
      <c r="G123" s="96"/>
      <c r="H123" s="96"/>
      <c r="I123" s="96"/>
    </row>
    <row r="124" spans="1:10" ht="15.75" thickBot="1" x14ac:dyDescent="0.3">
      <c r="A124" s="45"/>
      <c r="B124" s="89" t="s">
        <v>122</v>
      </c>
      <c r="C124" s="90" t="s">
        <v>53</v>
      </c>
      <c r="D124" s="117">
        <v>2</v>
      </c>
      <c r="E124" s="117">
        <v>4500</v>
      </c>
      <c r="F124" s="96"/>
      <c r="G124" s="96"/>
      <c r="H124" s="96">
        <f>E124*D124</f>
        <v>9000</v>
      </c>
      <c r="I124" s="96"/>
    </row>
    <row r="125" spans="1:10" ht="15.75" thickBot="1" x14ac:dyDescent="0.3">
      <c r="A125" s="10"/>
      <c r="B125" s="11" t="s">
        <v>17</v>
      </c>
      <c r="C125" s="19" t="s">
        <v>42</v>
      </c>
      <c r="D125" s="19"/>
      <c r="E125" s="52">
        <f>SUM(F125:I125)</f>
        <v>44146.7</v>
      </c>
      <c r="F125" s="121">
        <f>SUM(F117:F124)</f>
        <v>35146.699999999997</v>
      </c>
      <c r="G125" s="54">
        <f>SUM(G117:G124)</f>
        <v>0</v>
      </c>
      <c r="H125" s="54">
        <f>SUM(H117:H124)</f>
        <v>9000</v>
      </c>
      <c r="I125" s="124">
        <f>SUM(I117:I124)</f>
        <v>0</v>
      </c>
      <c r="J125" s="86"/>
    </row>
    <row r="126" spans="1:10" s="86" customFormat="1" x14ac:dyDescent="0.25">
      <c r="A126" s="66"/>
      <c r="B126" s="61"/>
      <c r="C126" s="61"/>
      <c r="D126" s="61"/>
      <c r="E126" s="59"/>
      <c r="F126" s="125"/>
      <c r="G126" s="85"/>
      <c r="H126" s="85"/>
      <c r="I126" s="126"/>
    </row>
    <row r="127" spans="1:10" ht="15.75" thickBot="1" x14ac:dyDescent="0.3">
      <c r="A127" s="86"/>
      <c r="B127" s="94"/>
      <c r="C127" s="94"/>
      <c r="D127" s="94"/>
      <c r="E127" s="95"/>
      <c r="F127" s="94"/>
      <c r="G127" s="95"/>
      <c r="H127" s="95"/>
      <c r="I127" s="94"/>
      <c r="J127" s="86"/>
    </row>
    <row r="128" spans="1:10" ht="25.5" x14ac:dyDescent="0.25">
      <c r="A128" s="84">
        <f>'PRESUP-SOT-3P'!A26</f>
        <v>3.01</v>
      </c>
      <c r="B128" s="47" t="str">
        <f>'PRESUP-SOT-3P'!B26</f>
        <v>Tubería sanitaria estructurada 200mm (8 pulg sanitaria) (no incluye suministro)</v>
      </c>
      <c r="C128" s="48" t="s">
        <v>11</v>
      </c>
      <c r="D128" s="48" t="s">
        <v>12</v>
      </c>
      <c r="E128" s="49" t="s">
        <v>5</v>
      </c>
      <c r="F128" s="50" t="s">
        <v>13</v>
      </c>
      <c r="G128" s="50" t="s">
        <v>14</v>
      </c>
      <c r="H128" s="50" t="s">
        <v>15</v>
      </c>
      <c r="I128" s="51" t="s">
        <v>16</v>
      </c>
      <c r="J128" s="86"/>
    </row>
    <row r="129" spans="1:10" x14ac:dyDescent="0.25">
      <c r="A129" s="45"/>
      <c r="B129" s="89" t="s">
        <v>90</v>
      </c>
      <c r="C129" s="90" t="s">
        <v>91</v>
      </c>
      <c r="D129" s="117">
        <v>0.03</v>
      </c>
      <c r="E129" s="117">
        <v>15000</v>
      </c>
      <c r="F129" s="96">
        <f>E129*D129</f>
        <v>450</v>
      </c>
      <c r="G129" s="96"/>
      <c r="H129" s="96"/>
      <c r="I129" s="96"/>
    </row>
    <row r="130" spans="1:10" x14ac:dyDescent="0.25">
      <c r="A130" s="45"/>
      <c r="B130" s="89" t="s">
        <v>112</v>
      </c>
      <c r="C130" s="90" t="s">
        <v>33</v>
      </c>
      <c r="D130" s="117">
        <v>200</v>
      </c>
      <c r="E130" s="117">
        <v>1</v>
      </c>
      <c r="F130" s="96">
        <f>E130*D130</f>
        <v>200</v>
      </c>
      <c r="G130" s="96"/>
      <c r="H130" s="96"/>
      <c r="I130" s="96"/>
    </row>
    <row r="131" spans="1:10" x14ac:dyDescent="0.25">
      <c r="A131" s="45"/>
      <c r="B131" s="89" t="s">
        <v>127</v>
      </c>
      <c r="C131" s="90" t="s">
        <v>125</v>
      </c>
      <c r="D131" s="117">
        <v>3</v>
      </c>
      <c r="E131" s="117">
        <v>5157</v>
      </c>
      <c r="F131" s="96">
        <f>E131*D131</f>
        <v>15471</v>
      </c>
      <c r="G131" s="96"/>
      <c r="H131" s="96"/>
      <c r="I131" s="96"/>
    </row>
    <row r="132" spans="1:10" x14ac:dyDescent="0.25">
      <c r="A132" s="45"/>
      <c r="B132" s="89" t="s">
        <v>128</v>
      </c>
      <c r="C132" s="90" t="s">
        <v>125</v>
      </c>
      <c r="D132" s="117">
        <v>2</v>
      </c>
      <c r="E132" s="117">
        <v>3714</v>
      </c>
      <c r="F132" s="96">
        <f>E132*D132</f>
        <v>7428</v>
      </c>
      <c r="G132" s="96"/>
      <c r="H132" s="96"/>
      <c r="I132" s="96"/>
    </row>
    <row r="133" spans="1:10" ht="15.75" thickBot="1" x14ac:dyDescent="0.3">
      <c r="A133" s="45"/>
      <c r="B133" s="89" t="s">
        <v>129</v>
      </c>
      <c r="C133" s="90" t="s">
        <v>130</v>
      </c>
      <c r="D133" s="117">
        <v>0.2</v>
      </c>
      <c r="E133" s="117">
        <v>25000</v>
      </c>
      <c r="F133" s="96"/>
      <c r="G133" s="96"/>
      <c r="H133" s="96">
        <f>E133*D133</f>
        <v>5000</v>
      </c>
      <c r="I133" s="96"/>
    </row>
    <row r="134" spans="1:10" ht="15.75" thickBot="1" x14ac:dyDescent="0.3">
      <c r="A134" s="10"/>
      <c r="B134" s="11" t="s">
        <v>17</v>
      </c>
      <c r="C134" s="19" t="s">
        <v>8</v>
      </c>
      <c r="D134" s="19"/>
      <c r="E134" s="52">
        <f>SUM(F134:I134)</f>
        <v>28549</v>
      </c>
      <c r="F134" s="121">
        <f>SUM(F129:F133)</f>
        <v>23549</v>
      </c>
      <c r="G134" s="54">
        <f>SUM(G129:G133)</f>
        <v>0</v>
      </c>
      <c r="H134" s="54">
        <f>SUM(H129:H133)</f>
        <v>5000</v>
      </c>
      <c r="I134" s="122">
        <f>SUM(I129:I133)</f>
        <v>0</v>
      </c>
      <c r="J134" s="86"/>
    </row>
    <row r="135" spans="1:10" ht="15.75" thickBot="1" x14ac:dyDescent="0.3"/>
    <row r="136" spans="1:10" ht="25.5" x14ac:dyDescent="0.25">
      <c r="A136" s="84">
        <f>'PRESUP-SOT-3P'!A27</f>
        <v>3.02</v>
      </c>
      <c r="B136" s="47" t="str">
        <f>'PRESUP-SOT-3P'!B27</f>
        <v>Tubería sanitaria estructurada 250mm (10 pulg sanitaria) (no incluye suministro)</v>
      </c>
      <c r="C136" s="48" t="s">
        <v>11</v>
      </c>
      <c r="D136" s="48" t="s">
        <v>12</v>
      </c>
      <c r="E136" s="49" t="s">
        <v>5</v>
      </c>
      <c r="F136" s="50" t="s">
        <v>13</v>
      </c>
      <c r="G136" s="50" t="s">
        <v>14</v>
      </c>
      <c r="H136" s="50" t="s">
        <v>15</v>
      </c>
      <c r="I136" s="51" t="s">
        <v>16</v>
      </c>
      <c r="J136" s="86"/>
    </row>
    <row r="137" spans="1:10" x14ac:dyDescent="0.25">
      <c r="A137" s="45"/>
      <c r="B137" s="89" t="s">
        <v>90</v>
      </c>
      <c r="C137" s="90" t="s">
        <v>91</v>
      </c>
      <c r="D137" s="117">
        <v>0.2</v>
      </c>
      <c r="E137" s="117">
        <v>15000</v>
      </c>
      <c r="F137" s="96">
        <f>E137*D137</f>
        <v>3000</v>
      </c>
      <c r="G137" s="96"/>
      <c r="H137" s="96"/>
      <c r="I137" s="96"/>
    </row>
    <row r="138" spans="1:10" x14ac:dyDescent="0.25">
      <c r="A138" s="45"/>
      <c r="B138" s="89" t="s">
        <v>112</v>
      </c>
      <c r="C138" s="90" t="s">
        <v>33</v>
      </c>
      <c r="D138" s="117">
        <v>500</v>
      </c>
      <c r="E138" s="117">
        <v>1</v>
      </c>
      <c r="F138" s="96">
        <f>E138*D138</f>
        <v>500</v>
      </c>
      <c r="G138" s="96"/>
      <c r="H138" s="96"/>
      <c r="I138" s="96"/>
    </row>
    <row r="139" spans="1:10" x14ac:dyDescent="0.25">
      <c r="A139" s="45"/>
      <c r="B139" s="89" t="s">
        <v>127</v>
      </c>
      <c r="C139" s="90" t="s">
        <v>125</v>
      </c>
      <c r="D139" s="117">
        <v>4</v>
      </c>
      <c r="E139" s="117">
        <v>5157</v>
      </c>
      <c r="F139" s="96">
        <f>E139*D139</f>
        <v>20628</v>
      </c>
      <c r="G139" s="96"/>
      <c r="H139" s="96"/>
      <c r="I139" s="96"/>
    </row>
    <row r="140" spans="1:10" x14ac:dyDescent="0.25">
      <c r="A140" s="45"/>
      <c r="B140" s="89" t="s">
        <v>128</v>
      </c>
      <c r="C140" s="90" t="s">
        <v>125</v>
      </c>
      <c r="D140" s="117">
        <v>2</v>
      </c>
      <c r="E140" s="117">
        <v>3714</v>
      </c>
      <c r="F140" s="96">
        <f>E140*D140</f>
        <v>7428</v>
      </c>
      <c r="G140" s="96"/>
      <c r="H140" s="96"/>
      <c r="I140" s="96"/>
    </row>
    <row r="141" spans="1:10" ht="15.75" thickBot="1" x14ac:dyDescent="0.3">
      <c r="A141" s="45"/>
      <c r="B141" s="89" t="s">
        <v>129</v>
      </c>
      <c r="C141" s="90" t="s">
        <v>130</v>
      </c>
      <c r="D141" s="117">
        <v>0.2</v>
      </c>
      <c r="E141" s="117">
        <v>25000</v>
      </c>
      <c r="F141" s="96"/>
      <c r="G141" s="96"/>
      <c r="H141" s="96">
        <f>E141*D141</f>
        <v>5000</v>
      </c>
      <c r="I141" s="96"/>
    </row>
    <row r="142" spans="1:10" ht="15.75" thickBot="1" x14ac:dyDescent="0.3">
      <c r="A142" s="10"/>
      <c r="B142" s="11" t="s">
        <v>17</v>
      </c>
      <c r="C142" s="19" t="s">
        <v>8</v>
      </c>
      <c r="D142" s="19"/>
      <c r="E142" s="52">
        <f>SUM(F142:I142)</f>
        <v>36556</v>
      </c>
      <c r="F142" s="121">
        <f>SUM(F137:F141)</f>
        <v>31556</v>
      </c>
      <c r="G142" s="54">
        <f>SUM(G137:G141)</f>
        <v>0</v>
      </c>
      <c r="H142" s="54">
        <f>SUM(H137:H141)</f>
        <v>5000</v>
      </c>
      <c r="I142" s="120">
        <f>SUM(I137:I141)</f>
        <v>0</v>
      </c>
      <c r="J142" s="86"/>
    </row>
    <row r="143" spans="1:10" ht="15.75" thickBot="1" x14ac:dyDescent="0.3"/>
    <row r="144" spans="1:10" ht="30" x14ac:dyDescent="0.25">
      <c r="A144" s="84">
        <f>'PRESUP-SOT-3P'!A28</f>
        <v>3.03</v>
      </c>
      <c r="B144" s="56" t="str">
        <f>'PRESUP-SOT-3P'!B28</f>
        <v>Tubería sanitaria estructurada 400mm (16 pulg sanitaria) (no incluye suministro)</v>
      </c>
      <c r="C144" s="48" t="s">
        <v>11</v>
      </c>
      <c r="D144" s="48" t="s">
        <v>12</v>
      </c>
      <c r="E144" s="49" t="s">
        <v>5</v>
      </c>
      <c r="F144" s="50" t="s">
        <v>13</v>
      </c>
      <c r="G144" s="50" t="s">
        <v>14</v>
      </c>
      <c r="H144" s="50" t="s">
        <v>15</v>
      </c>
      <c r="I144" s="51" t="s">
        <v>16</v>
      </c>
    </row>
    <row r="145" spans="1:10" x14ac:dyDescent="0.25">
      <c r="A145" s="45"/>
      <c r="B145" s="89" t="s">
        <v>90</v>
      </c>
      <c r="C145" s="90" t="s">
        <v>91</v>
      </c>
      <c r="D145" s="117">
        <v>0.2</v>
      </c>
      <c r="E145" s="117">
        <v>15000</v>
      </c>
      <c r="F145" s="96">
        <f>E145*D145</f>
        <v>3000</v>
      </c>
      <c r="G145" s="96"/>
      <c r="H145" s="96"/>
      <c r="I145" s="96"/>
    </row>
    <row r="146" spans="1:10" x14ac:dyDescent="0.25">
      <c r="A146" s="45"/>
      <c r="B146" s="89" t="s">
        <v>112</v>
      </c>
      <c r="C146" s="90" t="s">
        <v>33</v>
      </c>
      <c r="D146" s="117">
        <v>500</v>
      </c>
      <c r="E146" s="117">
        <v>1</v>
      </c>
      <c r="F146" s="96">
        <f>E146*D146</f>
        <v>500</v>
      </c>
      <c r="G146" s="96"/>
      <c r="H146" s="96"/>
      <c r="I146" s="96"/>
    </row>
    <row r="147" spans="1:10" x14ac:dyDescent="0.25">
      <c r="A147" s="45"/>
      <c r="B147" s="89" t="s">
        <v>127</v>
      </c>
      <c r="C147" s="90" t="s">
        <v>125</v>
      </c>
      <c r="D147" s="117">
        <v>5</v>
      </c>
      <c r="E147" s="117">
        <v>5157</v>
      </c>
      <c r="F147" s="96">
        <f>E147*D147</f>
        <v>25785</v>
      </c>
      <c r="G147" s="96"/>
      <c r="H147" s="96"/>
      <c r="I147" s="96"/>
    </row>
    <row r="148" spans="1:10" x14ac:dyDescent="0.25">
      <c r="A148" s="45"/>
      <c r="B148" s="89" t="s">
        <v>128</v>
      </c>
      <c r="C148" s="90" t="s">
        <v>125</v>
      </c>
      <c r="D148" s="117">
        <v>3</v>
      </c>
      <c r="E148" s="117">
        <v>3714</v>
      </c>
      <c r="F148" s="96">
        <f>E148*D148</f>
        <v>11142</v>
      </c>
      <c r="G148" s="96"/>
      <c r="H148" s="96"/>
      <c r="I148" s="96"/>
    </row>
    <row r="149" spans="1:10" ht="15.75" thickBot="1" x14ac:dyDescent="0.3">
      <c r="A149" s="45"/>
      <c r="B149" s="89" t="s">
        <v>129</v>
      </c>
      <c r="C149" s="90" t="s">
        <v>130</v>
      </c>
      <c r="D149" s="117">
        <v>0.2</v>
      </c>
      <c r="E149" s="117">
        <v>25000</v>
      </c>
      <c r="F149" s="96"/>
      <c r="G149" s="96"/>
      <c r="H149" s="96">
        <f>E149*D149</f>
        <v>5000</v>
      </c>
      <c r="I149" s="96"/>
    </row>
    <row r="150" spans="1:10" ht="15.75" thickBot="1" x14ac:dyDescent="0.3">
      <c r="A150" s="10"/>
      <c r="B150" s="11" t="s">
        <v>17</v>
      </c>
      <c r="C150" s="19" t="s">
        <v>8</v>
      </c>
      <c r="D150" s="19"/>
      <c r="E150" s="52">
        <f>SUM(F150:I150)</f>
        <v>45427</v>
      </c>
      <c r="F150" s="121">
        <f>SUM(F145:F149)</f>
        <v>40427</v>
      </c>
      <c r="G150" s="54">
        <f>SUM(G145:G149)</f>
        <v>0</v>
      </c>
      <c r="H150" s="54">
        <f>SUM(H145:H149)</f>
        <v>5000</v>
      </c>
      <c r="I150" s="122">
        <f>SUM(I145:I149)</f>
        <v>0</v>
      </c>
      <c r="J150" s="86"/>
    </row>
    <row r="151" spans="1:10" ht="15.75" thickBot="1" x14ac:dyDescent="0.3">
      <c r="A151" s="86"/>
      <c r="B151" s="99"/>
      <c r="C151" s="99"/>
      <c r="D151" s="99"/>
      <c r="E151" s="97"/>
      <c r="F151" s="97"/>
      <c r="G151" s="97"/>
      <c r="H151" s="97"/>
      <c r="I151" s="98"/>
      <c r="J151" s="86"/>
    </row>
    <row r="152" spans="1:10" x14ac:dyDescent="0.25">
      <c r="A152" s="84">
        <f>'PRESUP-SOT-3P'!A29</f>
        <v>3.04</v>
      </c>
      <c r="B152" s="47" t="str">
        <f>'PRESUP-SOT-3P'!B29</f>
        <v xml:space="preserve"> "Codo 90° estructurado 8 pulg</v>
      </c>
      <c r="C152" s="48" t="s">
        <v>11</v>
      </c>
      <c r="D152" s="48" t="s">
        <v>12</v>
      </c>
      <c r="E152" s="49" t="s">
        <v>5</v>
      </c>
      <c r="F152" s="50" t="s">
        <v>13</v>
      </c>
      <c r="G152" s="50" t="s">
        <v>14</v>
      </c>
      <c r="H152" s="50" t="s">
        <v>15</v>
      </c>
      <c r="I152" s="51" t="s">
        <v>16</v>
      </c>
    </row>
    <row r="153" spans="1:10" x14ac:dyDescent="0.25">
      <c r="A153" s="45"/>
      <c r="B153" s="89" t="s">
        <v>90</v>
      </c>
      <c r="C153" s="90" t="s">
        <v>91</v>
      </c>
      <c r="D153" s="117">
        <v>0.1</v>
      </c>
      <c r="E153" s="117">
        <v>15000</v>
      </c>
      <c r="F153" s="96">
        <f>E153*D153</f>
        <v>1500</v>
      </c>
      <c r="G153" s="96"/>
      <c r="H153" s="96"/>
      <c r="I153" s="96"/>
    </row>
    <row r="154" spans="1:10" x14ac:dyDescent="0.25">
      <c r="A154" s="45"/>
      <c r="B154" s="89" t="s">
        <v>112</v>
      </c>
      <c r="C154" s="90" t="s">
        <v>33</v>
      </c>
      <c r="D154" s="117">
        <v>300</v>
      </c>
      <c r="E154" s="117">
        <v>1</v>
      </c>
      <c r="F154" s="96">
        <f>E154*D154</f>
        <v>300</v>
      </c>
      <c r="G154" s="96"/>
      <c r="H154" s="96"/>
      <c r="I154" s="96"/>
    </row>
    <row r="155" spans="1:10" ht="15.75" thickBot="1" x14ac:dyDescent="0.3">
      <c r="A155" s="45"/>
      <c r="B155" s="89" t="s">
        <v>131</v>
      </c>
      <c r="C155" s="90" t="s">
        <v>65</v>
      </c>
      <c r="D155" s="117">
        <v>5</v>
      </c>
      <c r="E155" s="117">
        <v>2600</v>
      </c>
      <c r="F155" s="96"/>
      <c r="G155" s="96"/>
      <c r="H155" s="96">
        <f>E155*D155</f>
        <v>13000</v>
      </c>
      <c r="I155" s="96"/>
    </row>
    <row r="156" spans="1:10" ht="15.75" thickBot="1" x14ac:dyDescent="0.3">
      <c r="A156" s="10"/>
      <c r="B156" s="11" t="s">
        <v>17</v>
      </c>
      <c r="C156" s="19" t="s">
        <v>0</v>
      </c>
      <c r="D156" s="19"/>
      <c r="E156" s="115">
        <f>SUM(F156+G156+H156+I156)</f>
        <v>14800</v>
      </c>
      <c r="F156" s="121">
        <f>SUM(F153:F155)</f>
        <v>1800</v>
      </c>
      <c r="G156" s="54">
        <f>SUM(G153:G155)</f>
        <v>0</v>
      </c>
      <c r="H156" s="54">
        <f>SUM(H153:H155)</f>
        <v>13000</v>
      </c>
      <c r="I156" s="55">
        <f>SUM(I153:I155)</f>
        <v>0</v>
      </c>
      <c r="J156" s="86"/>
    </row>
    <row r="157" spans="1:10" x14ac:dyDescent="0.25">
      <c r="A157" s="66"/>
      <c r="B157" s="61"/>
      <c r="C157" s="61"/>
      <c r="D157" s="61"/>
      <c r="E157" s="59"/>
      <c r="F157" s="61"/>
      <c r="G157" s="85"/>
      <c r="H157" s="85"/>
      <c r="I157" s="61"/>
      <c r="J157" s="86"/>
    </row>
    <row r="158" spans="1:10" ht="15.75" thickBot="1" x14ac:dyDescent="0.3">
      <c r="A158" s="86"/>
      <c r="B158" s="61"/>
      <c r="C158" s="61"/>
      <c r="D158" s="61"/>
      <c r="E158" s="60"/>
      <c r="F158" s="61"/>
      <c r="G158" s="100"/>
      <c r="H158" s="100"/>
      <c r="I158" s="61"/>
      <c r="J158" s="86"/>
    </row>
    <row r="159" spans="1:10" ht="25.5" x14ac:dyDescent="0.25">
      <c r="A159" s="46" t="str">
        <f>'PRESUP-SOT-3P'!A33</f>
        <v>04.01</v>
      </c>
      <c r="B159" s="47" t="str">
        <f>'PRESUP-SOT-3P'!B33</f>
        <v>Camara de inspección en concreto 3000 psi 2.50 m&lt;H&lt;=3.5 m D Int = 1.20 m</v>
      </c>
      <c r="C159" s="48" t="s">
        <v>11</v>
      </c>
      <c r="D159" s="48" t="s">
        <v>12</v>
      </c>
      <c r="E159" s="49" t="s">
        <v>5</v>
      </c>
      <c r="F159" s="50" t="s">
        <v>13</v>
      </c>
      <c r="G159" s="50" t="s">
        <v>14</v>
      </c>
      <c r="H159" s="50" t="s">
        <v>15</v>
      </c>
      <c r="I159" s="51" t="s">
        <v>16</v>
      </c>
    </row>
    <row r="160" spans="1:10" x14ac:dyDescent="0.25">
      <c r="A160" s="45"/>
      <c r="B160" s="89" t="s">
        <v>135</v>
      </c>
      <c r="C160" s="90" t="s">
        <v>8</v>
      </c>
      <c r="D160" s="117">
        <v>0.5</v>
      </c>
      <c r="E160" s="117">
        <v>6500</v>
      </c>
      <c r="F160" s="96">
        <f>E160*D160</f>
        <v>3250</v>
      </c>
      <c r="G160" s="96"/>
      <c r="H160" s="96"/>
      <c r="I160" s="96"/>
    </row>
    <row r="161" spans="1:10" x14ac:dyDescent="0.25">
      <c r="A161" s="45"/>
      <c r="B161" s="89" t="s">
        <v>98</v>
      </c>
      <c r="C161" s="90" t="s">
        <v>65</v>
      </c>
      <c r="D161" s="117">
        <v>0.05</v>
      </c>
      <c r="E161" s="117">
        <v>5040.2</v>
      </c>
      <c r="F161" s="96">
        <f t="shared" ref="F161:F166" si="7">E161*D161</f>
        <v>252.01</v>
      </c>
      <c r="G161" s="96"/>
      <c r="H161" s="96"/>
      <c r="I161" s="96"/>
    </row>
    <row r="162" spans="1:10" x14ac:dyDescent="0.25">
      <c r="A162" s="45"/>
      <c r="B162" s="89" t="s">
        <v>90</v>
      </c>
      <c r="C162" s="90" t="s">
        <v>91</v>
      </c>
      <c r="D162" s="117">
        <v>0.1</v>
      </c>
      <c r="E162" s="117">
        <v>15000</v>
      </c>
      <c r="F162" s="96">
        <f t="shared" si="7"/>
        <v>1500</v>
      </c>
      <c r="G162" s="96"/>
      <c r="H162" s="96"/>
      <c r="I162" s="96"/>
    </row>
    <row r="163" spans="1:10" x14ac:dyDescent="0.25">
      <c r="A163" s="45"/>
      <c r="B163" s="89" t="s">
        <v>102</v>
      </c>
      <c r="C163" s="90" t="s">
        <v>65</v>
      </c>
      <c r="D163" s="117">
        <v>0.03</v>
      </c>
      <c r="E163" s="117">
        <v>17400</v>
      </c>
      <c r="F163" s="96">
        <f t="shared" si="7"/>
        <v>522</v>
      </c>
      <c r="G163" s="96"/>
      <c r="H163" s="96"/>
      <c r="I163" s="96"/>
    </row>
    <row r="164" spans="1:10" x14ac:dyDescent="0.25">
      <c r="A164" s="45"/>
      <c r="B164" s="89" t="s">
        <v>103</v>
      </c>
      <c r="C164" s="90" t="s">
        <v>65</v>
      </c>
      <c r="D164" s="117">
        <v>0.1</v>
      </c>
      <c r="E164" s="117">
        <v>3723</v>
      </c>
      <c r="F164" s="96">
        <f t="shared" si="7"/>
        <v>372.3</v>
      </c>
      <c r="G164" s="96"/>
      <c r="H164" s="96"/>
      <c r="I164" s="96"/>
    </row>
    <row r="165" spans="1:10" x14ac:dyDescent="0.25">
      <c r="A165" s="45"/>
      <c r="B165" s="89" t="s">
        <v>136</v>
      </c>
      <c r="C165" s="90" t="s">
        <v>0</v>
      </c>
      <c r="D165" s="117">
        <v>0.02</v>
      </c>
      <c r="E165" s="117">
        <v>250000</v>
      </c>
      <c r="F165" s="96">
        <f t="shared" si="7"/>
        <v>5000</v>
      </c>
      <c r="G165" s="96"/>
      <c r="H165" s="96"/>
      <c r="I165" s="96"/>
    </row>
    <row r="166" spans="1:10" x14ac:dyDescent="0.25">
      <c r="A166" s="45"/>
      <c r="B166" s="89" t="s">
        <v>133</v>
      </c>
      <c r="C166" s="90" t="s">
        <v>71</v>
      </c>
      <c r="D166" s="117">
        <v>4</v>
      </c>
      <c r="E166" s="117">
        <v>34000</v>
      </c>
      <c r="F166" s="96">
        <f t="shared" si="7"/>
        <v>136000</v>
      </c>
      <c r="G166" s="96"/>
      <c r="H166" s="96"/>
      <c r="I166" s="96"/>
    </row>
    <row r="167" spans="1:10" x14ac:dyDescent="0.25">
      <c r="A167" s="10"/>
      <c r="B167" s="89" t="s">
        <v>207</v>
      </c>
      <c r="C167" s="90" t="s">
        <v>42</v>
      </c>
      <c r="D167" s="117">
        <v>0.35</v>
      </c>
      <c r="E167" s="145">
        <v>300000</v>
      </c>
      <c r="F167" s="146"/>
      <c r="G167" s="146">
        <f t="shared" ref="G167" si="8">E167*D167</f>
        <v>105000</v>
      </c>
      <c r="H167" s="146"/>
      <c r="I167" s="147"/>
    </row>
    <row r="168" spans="1:10" x14ac:dyDescent="0.25">
      <c r="A168" s="45"/>
      <c r="B168" s="89" t="s">
        <v>137</v>
      </c>
      <c r="C168" s="90" t="s">
        <v>53</v>
      </c>
      <c r="D168" s="117">
        <v>4.7</v>
      </c>
      <c r="E168" s="117">
        <v>420000</v>
      </c>
      <c r="F168" s="96"/>
      <c r="G168" s="96">
        <f t="shared" ref="G168:G173" si="9">E168*D168</f>
        <v>1974000</v>
      </c>
      <c r="H168" s="96"/>
      <c r="I168" s="96"/>
    </row>
    <row r="169" spans="1:10" x14ac:dyDescent="0.25">
      <c r="A169" s="45"/>
      <c r="B169" s="89" t="s">
        <v>138</v>
      </c>
      <c r="C169" s="90" t="s">
        <v>106</v>
      </c>
      <c r="D169" s="117">
        <v>2</v>
      </c>
      <c r="E169" s="117">
        <v>500</v>
      </c>
      <c r="F169" s="96"/>
      <c r="G169" s="96">
        <f t="shared" si="9"/>
        <v>1000</v>
      </c>
      <c r="H169" s="96"/>
      <c r="I169" s="96"/>
    </row>
    <row r="170" spans="1:10" ht="17.25" customHeight="1" x14ac:dyDescent="0.25">
      <c r="A170" s="45"/>
      <c r="B170" s="89" t="s">
        <v>139</v>
      </c>
      <c r="C170" s="90" t="s">
        <v>140</v>
      </c>
      <c r="D170" s="117">
        <v>1</v>
      </c>
      <c r="E170" s="117">
        <v>2579.5</v>
      </c>
      <c r="F170" s="96"/>
      <c r="G170" s="96">
        <f t="shared" si="9"/>
        <v>2579.5</v>
      </c>
      <c r="H170" s="96"/>
      <c r="I170" s="96"/>
    </row>
    <row r="171" spans="1:10" ht="15.75" customHeight="1" x14ac:dyDescent="0.25">
      <c r="A171" s="45"/>
      <c r="B171" s="89" t="s">
        <v>210</v>
      </c>
      <c r="C171" s="90" t="s">
        <v>234</v>
      </c>
      <c r="D171" s="117">
        <v>9.5</v>
      </c>
      <c r="E171" s="117">
        <v>15777.78</v>
      </c>
      <c r="F171" s="96"/>
      <c r="G171" s="96">
        <f t="shared" si="9"/>
        <v>149888.91</v>
      </c>
      <c r="H171" s="96"/>
      <c r="I171" s="96"/>
    </row>
    <row r="172" spans="1:10" x14ac:dyDescent="0.25">
      <c r="A172" s="45"/>
      <c r="B172" s="89" t="s">
        <v>142</v>
      </c>
      <c r="C172" s="90" t="s">
        <v>65</v>
      </c>
      <c r="D172" s="117">
        <v>2</v>
      </c>
      <c r="E172" s="117">
        <v>8400</v>
      </c>
      <c r="F172" s="96"/>
      <c r="G172" s="96">
        <f t="shared" si="9"/>
        <v>16800</v>
      </c>
      <c r="H172" s="96"/>
      <c r="I172" s="96"/>
    </row>
    <row r="173" spans="1:10" x14ac:dyDescent="0.25">
      <c r="A173" s="45"/>
      <c r="B173" s="89" t="s">
        <v>113</v>
      </c>
      <c r="C173" s="90" t="s">
        <v>71</v>
      </c>
      <c r="D173" s="117">
        <v>2</v>
      </c>
      <c r="E173" s="117">
        <v>10500</v>
      </c>
      <c r="F173" s="96"/>
      <c r="G173" s="96">
        <f t="shared" si="9"/>
        <v>21000</v>
      </c>
      <c r="H173" s="96"/>
      <c r="I173" s="96"/>
    </row>
    <row r="174" spans="1:10" ht="15.75" thickBot="1" x14ac:dyDescent="0.3">
      <c r="A174" s="45"/>
      <c r="B174" s="89" t="s">
        <v>143</v>
      </c>
      <c r="C174" s="90" t="s">
        <v>219</v>
      </c>
      <c r="D174" s="117">
        <v>24</v>
      </c>
      <c r="E174" s="117">
        <v>40000</v>
      </c>
      <c r="F174" s="96"/>
      <c r="G174" s="96"/>
      <c r="H174" s="96">
        <f>E174*D174</f>
        <v>960000</v>
      </c>
      <c r="I174" s="96"/>
    </row>
    <row r="175" spans="1:10" ht="15.75" thickBot="1" x14ac:dyDescent="0.3">
      <c r="A175" s="10"/>
      <c r="B175" s="11" t="s">
        <v>17</v>
      </c>
      <c r="C175" s="19" t="s">
        <v>71</v>
      </c>
      <c r="D175" s="19"/>
      <c r="E175" s="144">
        <f>SUM(F175:I175)</f>
        <v>3377164.72</v>
      </c>
      <c r="F175" s="53">
        <f>SUM(F160:F174)</f>
        <v>146896.31</v>
      </c>
      <c r="G175" s="54">
        <f>SUM(G160:G174)</f>
        <v>2270268.41</v>
      </c>
      <c r="H175" s="54">
        <f>SUM(H160:H174)</f>
        <v>960000</v>
      </c>
      <c r="I175" s="55"/>
      <c r="J175" s="86"/>
    </row>
    <row r="176" spans="1:10" ht="15.75" thickBot="1" x14ac:dyDescent="0.3"/>
    <row r="177" spans="1:9" ht="25.5" x14ac:dyDescent="0.25">
      <c r="A177" s="84" t="str">
        <f>'PRESUP-SOT-3P'!A34</f>
        <v>04.02</v>
      </c>
      <c r="B177" s="47" t="str">
        <f>'PRESUP-SOT-3P'!B34</f>
        <v>Camara de inspección en 3000 psi 3.5 m&lt;H&lt;=5 m D Int = 1.20 m Cónica</v>
      </c>
      <c r="C177" s="48" t="s">
        <v>11</v>
      </c>
      <c r="D177" s="48" t="s">
        <v>12</v>
      </c>
      <c r="E177" s="49" t="s">
        <v>5</v>
      </c>
      <c r="F177" s="50" t="s">
        <v>13</v>
      </c>
      <c r="G177" s="50" t="s">
        <v>14</v>
      </c>
      <c r="H177" s="50" t="s">
        <v>15</v>
      </c>
      <c r="I177" s="51" t="s">
        <v>16</v>
      </c>
    </row>
    <row r="178" spans="1:9" x14ac:dyDescent="0.25">
      <c r="A178" s="45"/>
      <c r="B178" s="89" t="s">
        <v>135</v>
      </c>
      <c r="C178" s="90" t="s">
        <v>8</v>
      </c>
      <c r="D178" s="117">
        <v>0.5</v>
      </c>
      <c r="E178" s="117">
        <v>6500</v>
      </c>
      <c r="F178" s="96">
        <f>E178*D178</f>
        <v>3250</v>
      </c>
      <c r="G178" s="96"/>
      <c r="H178" s="96"/>
      <c r="I178" s="96"/>
    </row>
    <row r="179" spans="1:9" x14ac:dyDescent="0.25">
      <c r="A179" s="45"/>
      <c r="B179" s="89" t="s">
        <v>98</v>
      </c>
      <c r="C179" s="90" t="s">
        <v>65</v>
      </c>
      <c r="D179" s="117">
        <v>0.05</v>
      </c>
      <c r="E179" s="117">
        <v>5040.2</v>
      </c>
      <c r="F179" s="96">
        <f t="shared" ref="F179:F184" si="10">E179*D179</f>
        <v>252.01</v>
      </c>
      <c r="G179" s="96"/>
      <c r="H179" s="96"/>
      <c r="I179" s="96"/>
    </row>
    <row r="180" spans="1:9" x14ac:dyDescent="0.25">
      <c r="A180" s="45"/>
      <c r="B180" s="89" t="s">
        <v>90</v>
      </c>
      <c r="C180" s="90" t="s">
        <v>91</v>
      </c>
      <c r="D180" s="117">
        <v>0.1</v>
      </c>
      <c r="E180" s="117">
        <v>15000</v>
      </c>
      <c r="F180" s="96">
        <f t="shared" si="10"/>
        <v>1500</v>
      </c>
      <c r="G180" s="96"/>
      <c r="H180" s="96"/>
      <c r="I180" s="96"/>
    </row>
    <row r="181" spans="1:9" x14ac:dyDescent="0.25">
      <c r="A181" s="45"/>
      <c r="B181" s="89" t="s">
        <v>102</v>
      </c>
      <c r="C181" s="90" t="s">
        <v>65</v>
      </c>
      <c r="D181" s="117">
        <v>0.03</v>
      </c>
      <c r="E181" s="117">
        <v>17400</v>
      </c>
      <c r="F181" s="96">
        <f t="shared" si="10"/>
        <v>522</v>
      </c>
      <c r="G181" s="96"/>
      <c r="H181" s="96"/>
      <c r="I181" s="96"/>
    </row>
    <row r="182" spans="1:9" x14ac:dyDescent="0.25">
      <c r="A182" s="45"/>
      <c r="B182" s="89" t="s">
        <v>103</v>
      </c>
      <c r="C182" s="90" t="s">
        <v>65</v>
      </c>
      <c r="D182" s="117">
        <v>0.1</v>
      </c>
      <c r="E182" s="117">
        <v>3723</v>
      </c>
      <c r="F182" s="96">
        <f t="shared" si="10"/>
        <v>372.3</v>
      </c>
      <c r="G182" s="96"/>
      <c r="H182" s="96"/>
      <c r="I182" s="96"/>
    </row>
    <row r="183" spans="1:9" x14ac:dyDescent="0.25">
      <c r="A183" s="45"/>
      <c r="B183" s="89" t="s">
        <v>136</v>
      </c>
      <c r="C183" s="90" t="s">
        <v>0</v>
      </c>
      <c r="D183" s="117">
        <v>0.02</v>
      </c>
      <c r="E183" s="117">
        <v>250000</v>
      </c>
      <c r="F183" s="96">
        <f t="shared" si="10"/>
        <v>5000</v>
      </c>
      <c r="G183" s="96"/>
      <c r="H183" s="96"/>
      <c r="I183" s="96"/>
    </row>
    <row r="184" spans="1:9" x14ac:dyDescent="0.25">
      <c r="A184" s="45"/>
      <c r="B184" s="89" t="s">
        <v>133</v>
      </c>
      <c r="C184" s="90" t="s">
        <v>71</v>
      </c>
      <c r="D184" s="117">
        <v>4</v>
      </c>
      <c r="E184" s="117">
        <v>34000</v>
      </c>
      <c r="F184" s="96">
        <f t="shared" si="10"/>
        <v>136000</v>
      </c>
      <c r="G184" s="96"/>
      <c r="H184" s="96"/>
      <c r="I184" s="96"/>
    </row>
    <row r="185" spans="1:9" x14ac:dyDescent="0.25">
      <c r="A185" s="10"/>
      <c r="B185" s="89" t="s">
        <v>207</v>
      </c>
      <c r="C185" s="90" t="s">
        <v>42</v>
      </c>
      <c r="D185" s="117">
        <v>0.35</v>
      </c>
      <c r="E185" s="145">
        <v>300000</v>
      </c>
      <c r="F185" s="146"/>
      <c r="G185" s="146">
        <f t="shared" ref="G185" si="11">E185*D185</f>
        <v>105000</v>
      </c>
      <c r="H185" s="146"/>
      <c r="I185" s="147"/>
    </row>
    <row r="186" spans="1:9" x14ac:dyDescent="0.25">
      <c r="A186" s="45"/>
      <c r="B186" s="89" t="s">
        <v>137</v>
      </c>
      <c r="C186" s="90" t="s">
        <v>53</v>
      </c>
      <c r="D186" s="117">
        <v>8</v>
      </c>
      <c r="E186" s="117">
        <v>420000</v>
      </c>
      <c r="F186" s="96"/>
      <c r="G186" s="96">
        <f t="shared" ref="G186:G191" si="12">E186*D186</f>
        <v>3360000</v>
      </c>
      <c r="H186" s="96"/>
      <c r="I186" s="96"/>
    </row>
    <row r="187" spans="1:9" x14ac:dyDescent="0.25">
      <c r="A187" s="45"/>
      <c r="B187" s="89" t="s">
        <v>138</v>
      </c>
      <c r="C187" s="90" t="s">
        <v>106</v>
      </c>
      <c r="D187" s="117">
        <v>2</v>
      </c>
      <c r="E187" s="117">
        <v>500</v>
      </c>
      <c r="F187" s="96"/>
      <c r="G187" s="96">
        <f t="shared" si="12"/>
        <v>1000</v>
      </c>
      <c r="H187" s="96"/>
      <c r="I187" s="96"/>
    </row>
    <row r="188" spans="1:9" ht="17.25" customHeight="1" x14ac:dyDescent="0.25">
      <c r="A188" s="45"/>
      <c r="B188" s="89" t="s">
        <v>139</v>
      </c>
      <c r="C188" s="90" t="s">
        <v>140</v>
      </c>
      <c r="D188" s="117">
        <v>1</v>
      </c>
      <c r="E188" s="117">
        <v>2579.5</v>
      </c>
      <c r="F188" s="96"/>
      <c r="G188" s="96">
        <f t="shared" si="12"/>
        <v>2579.5</v>
      </c>
      <c r="H188" s="96"/>
      <c r="I188" s="96"/>
    </row>
    <row r="189" spans="1:9" ht="15.75" customHeight="1" x14ac:dyDescent="0.25">
      <c r="A189" s="45"/>
      <c r="B189" s="89" t="s">
        <v>210</v>
      </c>
      <c r="C189" s="90" t="s">
        <v>234</v>
      </c>
      <c r="D189" s="117">
        <v>13</v>
      </c>
      <c r="E189" s="117">
        <v>15777.78</v>
      </c>
      <c r="F189" s="96"/>
      <c r="G189" s="96">
        <f t="shared" si="12"/>
        <v>205111.14</v>
      </c>
      <c r="H189" s="96"/>
      <c r="I189" s="96"/>
    </row>
    <row r="190" spans="1:9" x14ac:dyDescent="0.25">
      <c r="A190" s="45"/>
      <c r="B190" s="89" t="s">
        <v>142</v>
      </c>
      <c r="C190" s="90" t="s">
        <v>65</v>
      </c>
      <c r="D190" s="117">
        <v>2</v>
      </c>
      <c r="E190" s="117">
        <v>8400</v>
      </c>
      <c r="F190" s="96"/>
      <c r="G190" s="96">
        <f t="shared" si="12"/>
        <v>16800</v>
      </c>
      <c r="H190" s="96"/>
      <c r="I190" s="96"/>
    </row>
    <row r="191" spans="1:9" x14ac:dyDescent="0.25">
      <c r="A191" s="45"/>
      <c r="B191" s="89" t="s">
        <v>113</v>
      </c>
      <c r="C191" s="90" t="s">
        <v>71</v>
      </c>
      <c r="D191" s="117">
        <v>2</v>
      </c>
      <c r="E191" s="117">
        <v>10500</v>
      </c>
      <c r="F191" s="96"/>
      <c r="G191" s="96">
        <f t="shared" si="12"/>
        <v>21000</v>
      </c>
      <c r="H191" s="96"/>
      <c r="I191" s="96"/>
    </row>
    <row r="192" spans="1:9" ht="15.75" thickBot="1" x14ac:dyDescent="0.3">
      <c r="A192" s="45"/>
      <c r="B192" s="89" t="s">
        <v>143</v>
      </c>
      <c r="C192" s="90" t="s">
        <v>219</v>
      </c>
      <c r="D192" s="117">
        <v>24</v>
      </c>
      <c r="E192" s="117">
        <v>40000</v>
      </c>
      <c r="F192" s="96"/>
      <c r="G192" s="96"/>
      <c r="H192" s="96">
        <f>E192*D192</f>
        <v>960000</v>
      </c>
      <c r="I192" s="96"/>
    </row>
    <row r="193" spans="1:10" ht="15.75" thickBot="1" x14ac:dyDescent="0.3">
      <c r="A193" s="10"/>
      <c r="B193" s="11" t="s">
        <v>17</v>
      </c>
      <c r="C193" s="19" t="s">
        <v>42</v>
      </c>
      <c r="D193" s="19"/>
      <c r="E193" s="144">
        <f>SUM(F193:I193)</f>
        <v>4818386.95</v>
      </c>
      <c r="F193" s="53">
        <f>SUM(F178:F192)</f>
        <v>146896.31</v>
      </c>
      <c r="G193" s="54">
        <f>SUM(G178:G192)</f>
        <v>3711490.64</v>
      </c>
      <c r="H193" s="54">
        <f>SUM(H178:H192)</f>
        <v>960000</v>
      </c>
      <c r="I193" s="55"/>
      <c r="J193" s="86"/>
    </row>
    <row r="194" spans="1:10" ht="15.75" thickBot="1" x14ac:dyDescent="0.3"/>
    <row r="195" spans="1:10" ht="25.5" x14ac:dyDescent="0.25">
      <c r="A195" s="84" t="str">
        <f>'PRESUP-SOT-3P'!A35</f>
        <v>04.03</v>
      </c>
      <c r="B195" s="47" t="str">
        <f>'PRESUP-SOT-3P'!B35</f>
        <v>cámara de inspección en Concreto Impermeabilizado de 3500 PSI  H&gt;5 m</v>
      </c>
      <c r="C195" s="48" t="s">
        <v>11</v>
      </c>
      <c r="D195" s="48" t="s">
        <v>12</v>
      </c>
      <c r="E195" s="49" t="s">
        <v>5</v>
      </c>
      <c r="F195" s="50" t="s">
        <v>13</v>
      </c>
      <c r="G195" s="50" t="s">
        <v>14</v>
      </c>
      <c r="H195" s="50" t="s">
        <v>15</v>
      </c>
      <c r="I195" s="51" t="s">
        <v>16</v>
      </c>
      <c r="J195" s="86"/>
    </row>
    <row r="196" spans="1:10" x14ac:dyDescent="0.25">
      <c r="A196" s="45"/>
      <c r="B196" s="89" t="s">
        <v>135</v>
      </c>
      <c r="C196" s="90" t="s">
        <v>8</v>
      </c>
      <c r="D196" s="117">
        <v>6</v>
      </c>
      <c r="E196" s="117">
        <v>6500</v>
      </c>
      <c r="F196" s="96">
        <f>E196*D196</f>
        <v>39000</v>
      </c>
      <c r="G196" s="96"/>
      <c r="H196" s="96"/>
      <c r="I196" s="96"/>
    </row>
    <row r="197" spans="1:10" x14ac:dyDescent="0.25">
      <c r="A197" s="45"/>
      <c r="B197" s="89" t="s">
        <v>98</v>
      </c>
      <c r="C197" s="90" t="s">
        <v>65</v>
      </c>
      <c r="D197" s="117">
        <v>1</v>
      </c>
      <c r="E197" s="117">
        <v>5040.2</v>
      </c>
      <c r="F197" s="96">
        <f t="shared" ref="F197:F202" si="13">E197*D197</f>
        <v>5040.2</v>
      </c>
      <c r="G197" s="96"/>
      <c r="H197" s="96"/>
      <c r="I197" s="96"/>
    </row>
    <row r="198" spans="1:10" x14ac:dyDescent="0.25">
      <c r="A198" s="45"/>
      <c r="B198" s="89" t="s">
        <v>90</v>
      </c>
      <c r="C198" s="90" t="s">
        <v>91</v>
      </c>
      <c r="D198" s="117">
        <v>1</v>
      </c>
      <c r="E198" s="117">
        <v>15000</v>
      </c>
      <c r="F198" s="96">
        <f t="shared" si="13"/>
        <v>15000</v>
      </c>
      <c r="G198" s="96"/>
      <c r="H198" s="96"/>
      <c r="I198" s="96"/>
    </row>
    <row r="199" spans="1:10" x14ac:dyDescent="0.25">
      <c r="A199" s="45"/>
      <c r="B199" s="89" t="s">
        <v>102</v>
      </c>
      <c r="C199" s="90" t="s">
        <v>65</v>
      </c>
      <c r="D199" s="117">
        <v>1</v>
      </c>
      <c r="E199" s="117">
        <v>17400</v>
      </c>
      <c r="F199" s="96">
        <f t="shared" si="13"/>
        <v>17400</v>
      </c>
      <c r="G199" s="96"/>
      <c r="H199" s="96"/>
      <c r="I199" s="96"/>
    </row>
    <row r="200" spans="1:10" x14ac:dyDescent="0.25">
      <c r="A200" s="45"/>
      <c r="B200" s="89" t="s">
        <v>103</v>
      </c>
      <c r="C200" s="90" t="s">
        <v>65</v>
      </c>
      <c r="D200" s="117">
        <v>1</v>
      </c>
      <c r="E200" s="117">
        <v>3723</v>
      </c>
      <c r="F200" s="96">
        <f t="shared" si="13"/>
        <v>3723</v>
      </c>
      <c r="G200" s="96"/>
      <c r="H200" s="96"/>
      <c r="I200" s="96"/>
    </row>
    <row r="201" spans="1:10" x14ac:dyDescent="0.25">
      <c r="A201" s="45"/>
      <c r="B201" s="89" t="s">
        <v>136</v>
      </c>
      <c r="C201" s="90" t="s">
        <v>0</v>
      </c>
      <c r="D201" s="117">
        <v>1</v>
      </c>
      <c r="E201" s="117">
        <v>250000</v>
      </c>
      <c r="F201" s="96">
        <f t="shared" si="13"/>
        <v>250000</v>
      </c>
      <c r="G201" s="96"/>
      <c r="H201" s="96"/>
      <c r="I201" s="96"/>
    </row>
    <row r="202" spans="1:10" x14ac:dyDescent="0.25">
      <c r="A202" s="45"/>
      <c r="B202" s="89" t="s">
        <v>133</v>
      </c>
      <c r="C202" s="90" t="s">
        <v>71</v>
      </c>
      <c r="D202" s="117">
        <v>20</v>
      </c>
      <c r="E202" s="117">
        <v>34000</v>
      </c>
      <c r="F202" s="96">
        <f t="shared" si="13"/>
        <v>680000</v>
      </c>
      <c r="G202" s="96"/>
      <c r="H202" s="96"/>
      <c r="I202" s="96"/>
    </row>
    <row r="203" spans="1:10" x14ac:dyDescent="0.25">
      <c r="A203" s="10"/>
      <c r="B203" s="89" t="s">
        <v>207</v>
      </c>
      <c r="C203" s="90" t="s">
        <v>42</v>
      </c>
      <c r="D203" s="117">
        <v>1</v>
      </c>
      <c r="E203" s="145">
        <v>300000</v>
      </c>
      <c r="F203" s="146"/>
      <c r="G203" s="146">
        <f t="shared" ref="G203" si="14">E203*D203</f>
        <v>300000</v>
      </c>
      <c r="H203" s="146"/>
      <c r="I203" s="147"/>
    </row>
    <row r="204" spans="1:10" x14ac:dyDescent="0.25">
      <c r="A204" s="45"/>
      <c r="B204" s="89" t="s">
        <v>137</v>
      </c>
      <c r="C204" s="90" t="s">
        <v>53</v>
      </c>
      <c r="D204" s="117">
        <v>14</v>
      </c>
      <c r="E204" s="117">
        <v>420000</v>
      </c>
      <c r="F204" s="96"/>
      <c r="G204" s="96">
        <f t="shared" ref="G204:G209" si="15">E204*D204</f>
        <v>5880000</v>
      </c>
      <c r="H204" s="96"/>
      <c r="I204" s="96"/>
    </row>
    <row r="205" spans="1:10" x14ac:dyDescent="0.25">
      <c r="A205" s="45"/>
      <c r="B205" s="89" t="s">
        <v>138</v>
      </c>
      <c r="C205" s="90" t="s">
        <v>106</v>
      </c>
      <c r="D205" s="117">
        <v>14</v>
      </c>
      <c r="E205" s="117">
        <v>500</v>
      </c>
      <c r="F205" s="96"/>
      <c r="G205" s="96">
        <f t="shared" si="15"/>
        <v>7000</v>
      </c>
      <c r="H205" s="96"/>
      <c r="I205" s="96"/>
    </row>
    <row r="206" spans="1:10" ht="17.25" customHeight="1" x14ac:dyDescent="0.25">
      <c r="A206" s="45"/>
      <c r="B206" s="89" t="s">
        <v>139</v>
      </c>
      <c r="C206" s="90" t="s">
        <v>140</v>
      </c>
      <c r="D206" s="117">
        <v>2</v>
      </c>
      <c r="E206" s="117">
        <v>2579.5</v>
      </c>
      <c r="F206" s="96"/>
      <c r="G206" s="96">
        <f t="shared" si="15"/>
        <v>5159</v>
      </c>
      <c r="H206" s="96"/>
      <c r="I206" s="96"/>
    </row>
    <row r="207" spans="1:10" ht="15.75" customHeight="1" x14ac:dyDescent="0.25">
      <c r="A207" s="45"/>
      <c r="B207" s="89" t="s">
        <v>210</v>
      </c>
      <c r="C207" s="90" t="s">
        <v>42</v>
      </c>
      <c r="D207" s="117">
        <v>28</v>
      </c>
      <c r="E207" s="117">
        <v>15777.78</v>
      </c>
      <c r="F207" s="96"/>
      <c r="G207" s="96">
        <f t="shared" si="15"/>
        <v>441777.84</v>
      </c>
      <c r="H207" s="96"/>
      <c r="I207" s="96"/>
    </row>
    <row r="208" spans="1:10" x14ac:dyDescent="0.25">
      <c r="A208" s="45"/>
      <c r="B208" s="89" t="s">
        <v>142</v>
      </c>
      <c r="C208" s="90" t="s">
        <v>65</v>
      </c>
      <c r="D208" s="117">
        <v>2</v>
      </c>
      <c r="E208" s="117">
        <v>8400</v>
      </c>
      <c r="F208" s="96"/>
      <c r="G208" s="96">
        <f t="shared" si="15"/>
        <v>16800</v>
      </c>
      <c r="H208" s="96"/>
      <c r="I208" s="96"/>
    </row>
    <row r="209" spans="1:10" x14ac:dyDescent="0.25">
      <c r="A209" s="45"/>
      <c r="B209" s="89" t="s">
        <v>113</v>
      </c>
      <c r="C209" s="90" t="s">
        <v>71</v>
      </c>
      <c r="D209" s="117">
        <v>6</v>
      </c>
      <c r="E209" s="117">
        <v>10500</v>
      </c>
      <c r="F209" s="96"/>
      <c r="G209" s="96">
        <f t="shared" si="15"/>
        <v>63000</v>
      </c>
      <c r="H209" s="96"/>
      <c r="I209" s="96"/>
    </row>
    <row r="210" spans="1:10" ht="15.75" thickBot="1" x14ac:dyDescent="0.3">
      <c r="A210" s="45"/>
      <c r="B210" s="89" t="s">
        <v>143</v>
      </c>
      <c r="C210" s="90" t="s">
        <v>53</v>
      </c>
      <c r="D210" s="117">
        <v>36</v>
      </c>
      <c r="E210" s="117">
        <v>40000</v>
      </c>
      <c r="F210" s="96"/>
      <c r="G210" s="96"/>
      <c r="H210" s="96">
        <f>E210*D210</f>
        <v>1440000</v>
      </c>
      <c r="I210" s="96"/>
    </row>
    <row r="211" spans="1:10" ht="15.75" thickBot="1" x14ac:dyDescent="0.3">
      <c r="A211" s="10"/>
      <c r="B211" s="11" t="s">
        <v>17</v>
      </c>
      <c r="C211" s="19" t="s">
        <v>71</v>
      </c>
      <c r="D211" s="19"/>
      <c r="E211" s="144">
        <f>SUM(F211:I211)</f>
        <v>9163900.0399999991</v>
      </c>
      <c r="F211" s="121">
        <f>SUM(F196:F210)</f>
        <v>1010163.2</v>
      </c>
      <c r="G211" s="54">
        <f>SUM(G196:G210)</f>
        <v>6713736.8399999999</v>
      </c>
      <c r="H211" s="54">
        <f>SUM(H196:H210)</f>
        <v>1440000</v>
      </c>
      <c r="I211" s="55"/>
      <c r="J211" s="86"/>
    </row>
    <row r="212" spans="1:10" x14ac:dyDescent="0.25">
      <c r="A212" s="66"/>
      <c r="B212" s="61"/>
      <c r="C212" s="61"/>
      <c r="D212" s="61"/>
      <c r="E212" s="59"/>
      <c r="F212" s="61"/>
      <c r="G212" s="85"/>
      <c r="H212" s="85"/>
      <c r="I212" s="61"/>
      <c r="J212" s="86"/>
    </row>
    <row r="213" spans="1:10" ht="15.75" thickBot="1" x14ac:dyDescent="0.3">
      <c r="A213" s="86"/>
      <c r="B213" s="94"/>
      <c r="C213" s="94"/>
      <c r="D213" s="94"/>
      <c r="E213" s="95"/>
      <c r="F213" s="94"/>
      <c r="G213" s="95"/>
      <c r="H213" s="95"/>
      <c r="I213" s="94"/>
      <c r="J213" s="86"/>
    </row>
    <row r="214" spans="1:10" x14ac:dyDescent="0.25">
      <c r="A214" s="84" t="str">
        <f>'PRESUP-SOT-3P'!A39</f>
        <v>05.01</v>
      </c>
      <c r="B214" s="47" t="str">
        <f>'PRESUP-SOT-3P'!B39</f>
        <v>Demolición cámara de inspección incluye desalojo</v>
      </c>
      <c r="C214" s="48" t="s">
        <v>11</v>
      </c>
      <c r="D214" s="48" t="s">
        <v>12</v>
      </c>
      <c r="E214" s="49" t="s">
        <v>5</v>
      </c>
      <c r="F214" s="50" t="s">
        <v>13</v>
      </c>
      <c r="G214" s="50" t="s">
        <v>14</v>
      </c>
      <c r="H214" s="50" t="s">
        <v>15</v>
      </c>
      <c r="I214" s="51" t="s">
        <v>16</v>
      </c>
      <c r="J214" s="86"/>
    </row>
    <row r="215" spans="1:10" x14ac:dyDescent="0.25">
      <c r="A215" s="10"/>
      <c r="B215" s="89" t="s">
        <v>144</v>
      </c>
      <c r="C215" s="90" t="s">
        <v>40</v>
      </c>
      <c r="D215" s="117">
        <v>1</v>
      </c>
      <c r="E215" s="117">
        <v>10200</v>
      </c>
      <c r="F215" s="91">
        <f>E215*D215</f>
        <v>10200</v>
      </c>
      <c r="G215" s="91"/>
      <c r="H215" s="91"/>
      <c r="I215" s="92"/>
    </row>
    <row r="216" spans="1:10" x14ac:dyDescent="0.25">
      <c r="A216" s="10"/>
      <c r="B216" s="89" t="s">
        <v>145</v>
      </c>
      <c r="C216" s="90" t="s">
        <v>89</v>
      </c>
      <c r="D216" s="117">
        <v>1</v>
      </c>
      <c r="E216" s="117">
        <v>49500</v>
      </c>
      <c r="F216" s="91">
        <f>E216*D216</f>
        <v>49500</v>
      </c>
      <c r="G216" s="91"/>
      <c r="H216" s="91"/>
      <c r="I216" s="92"/>
    </row>
    <row r="217" spans="1:10" x14ac:dyDescent="0.25">
      <c r="A217" s="10"/>
      <c r="B217" s="89" t="s">
        <v>90</v>
      </c>
      <c r="C217" s="90" t="s">
        <v>91</v>
      </c>
      <c r="D217" s="117">
        <v>0.2</v>
      </c>
      <c r="E217" s="117">
        <v>15000</v>
      </c>
      <c r="F217" s="91">
        <f>E217*D217</f>
        <v>3000</v>
      </c>
      <c r="G217" s="91"/>
      <c r="H217" s="91"/>
      <c r="I217" s="92"/>
    </row>
    <row r="218" spans="1:10" x14ac:dyDescent="0.25">
      <c r="A218" s="10"/>
      <c r="B218" s="89" t="s">
        <v>112</v>
      </c>
      <c r="C218" s="90" t="s">
        <v>33</v>
      </c>
      <c r="D218" s="117">
        <v>2000</v>
      </c>
      <c r="E218" s="117">
        <v>1</v>
      </c>
      <c r="F218" s="91">
        <f>E218*D218</f>
        <v>2000</v>
      </c>
      <c r="G218" s="91"/>
      <c r="H218" s="91"/>
      <c r="I218" s="92"/>
    </row>
    <row r="219" spans="1:10" x14ac:dyDescent="0.25">
      <c r="A219" s="10"/>
      <c r="B219" s="89" t="s">
        <v>146</v>
      </c>
      <c r="C219" s="90" t="s">
        <v>53</v>
      </c>
      <c r="D219" s="117">
        <v>1</v>
      </c>
      <c r="E219" s="117">
        <v>59983</v>
      </c>
      <c r="F219" s="91"/>
      <c r="G219" s="91"/>
      <c r="H219" s="91">
        <f>E219*D219</f>
        <v>59983</v>
      </c>
      <c r="I219" s="92"/>
    </row>
    <row r="220" spans="1:10" ht="15.75" thickBot="1" x14ac:dyDescent="0.3">
      <c r="A220" s="10"/>
      <c r="B220" s="89" t="s">
        <v>96</v>
      </c>
      <c r="C220" s="90" t="s">
        <v>42</v>
      </c>
      <c r="D220" s="117">
        <v>3</v>
      </c>
      <c r="E220" s="117">
        <v>500</v>
      </c>
      <c r="F220" s="91"/>
      <c r="G220" s="91"/>
      <c r="H220" s="91">
        <f>E220*D220</f>
        <v>1500</v>
      </c>
      <c r="I220" s="92"/>
    </row>
    <row r="221" spans="1:10" ht="15.75" thickBot="1" x14ac:dyDescent="0.3">
      <c r="A221" s="10"/>
      <c r="B221" s="11" t="s">
        <v>17</v>
      </c>
      <c r="C221" s="19" t="s">
        <v>0</v>
      </c>
      <c r="D221" s="19"/>
      <c r="E221" s="52">
        <f>SUM(F221:I221)</f>
        <v>126183</v>
      </c>
      <c r="F221" s="53">
        <f>SUM(F215:F220)</f>
        <v>64700</v>
      </c>
      <c r="G221" s="54">
        <f>SUM(G215:G220)</f>
        <v>0</v>
      </c>
      <c r="H221" s="54">
        <f>SUM(H215:H220)</f>
        <v>61483</v>
      </c>
      <c r="I221" s="55">
        <f>SUM(I215:I220)</f>
        <v>0</v>
      </c>
      <c r="J221" s="86"/>
    </row>
    <row r="222" spans="1:10" ht="15.75" thickBot="1" x14ac:dyDescent="0.3"/>
    <row r="223" spans="1:10" x14ac:dyDescent="0.25">
      <c r="A223" s="84" t="str">
        <f>'PRESUP-SOT-3P'!A40</f>
        <v>05.02</v>
      </c>
      <c r="B223" s="47" t="str">
        <f>'PRESUP-SOT-3P'!B40</f>
        <v>Cancelación de puntos de alcantarillado con concreto</v>
      </c>
      <c r="C223" s="48" t="s">
        <v>11</v>
      </c>
      <c r="D223" s="48" t="s">
        <v>12</v>
      </c>
      <c r="E223" s="49" t="s">
        <v>5</v>
      </c>
      <c r="F223" s="50" t="s">
        <v>13</v>
      </c>
      <c r="G223" s="50" t="s">
        <v>14</v>
      </c>
      <c r="H223" s="50" t="s">
        <v>15</v>
      </c>
      <c r="I223" s="51" t="s">
        <v>16</v>
      </c>
      <c r="J223" s="86"/>
    </row>
    <row r="224" spans="1:10" x14ac:dyDescent="0.25">
      <c r="A224" s="10"/>
      <c r="B224" s="89" t="s">
        <v>90</v>
      </c>
      <c r="C224" s="90" t="s">
        <v>91</v>
      </c>
      <c r="D224" s="117">
        <v>0.1</v>
      </c>
      <c r="E224" s="117">
        <v>15000</v>
      </c>
      <c r="F224" s="91">
        <f>E224*D224</f>
        <v>1500</v>
      </c>
      <c r="G224" s="91"/>
      <c r="H224" s="91"/>
      <c r="I224" s="92"/>
    </row>
    <row r="225" spans="1:10" x14ac:dyDescent="0.25">
      <c r="A225" s="10"/>
      <c r="B225" s="89" t="s">
        <v>112</v>
      </c>
      <c r="C225" s="90" t="s">
        <v>33</v>
      </c>
      <c r="D225" s="117">
        <v>500</v>
      </c>
      <c r="E225" s="117">
        <v>1</v>
      </c>
      <c r="F225" s="91">
        <f>E225*D225</f>
        <v>500</v>
      </c>
      <c r="G225" s="91"/>
      <c r="H225" s="91"/>
      <c r="I225" s="92"/>
    </row>
    <row r="226" spans="1:10" x14ac:dyDescent="0.25">
      <c r="A226" s="10"/>
      <c r="B226" s="89" t="s">
        <v>134</v>
      </c>
      <c r="C226" s="90" t="s">
        <v>53</v>
      </c>
      <c r="D226" s="117">
        <v>0.05</v>
      </c>
      <c r="E226" s="117">
        <v>319584</v>
      </c>
      <c r="F226" s="91"/>
      <c r="G226" s="91">
        <f>E226*D226</f>
        <v>15979.2</v>
      </c>
      <c r="H226" s="91"/>
      <c r="I226" s="92"/>
    </row>
    <row r="227" spans="1:10" ht="15.75" thickBot="1" x14ac:dyDescent="0.3">
      <c r="A227" s="10"/>
      <c r="B227" s="89" t="s">
        <v>105</v>
      </c>
      <c r="C227" s="90" t="s">
        <v>106</v>
      </c>
      <c r="D227" s="117">
        <v>1</v>
      </c>
      <c r="E227" s="117">
        <v>29183.33</v>
      </c>
      <c r="F227" s="91"/>
      <c r="G227" s="91"/>
      <c r="H227" s="91">
        <f>E227*D227</f>
        <v>29183.33</v>
      </c>
      <c r="I227" s="92"/>
    </row>
    <row r="228" spans="1:10" ht="15.75" thickBot="1" x14ac:dyDescent="0.3">
      <c r="A228" s="10"/>
      <c r="B228" s="11" t="s">
        <v>17</v>
      </c>
      <c r="C228" s="19" t="s">
        <v>0</v>
      </c>
      <c r="D228" s="19"/>
      <c r="E228" s="52">
        <f>SUM(F228:I228)</f>
        <v>47162.53</v>
      </c>
      <c r="F228" s="53">
        <f>SUM(F224:F227)</f>
        <v>2000</v>
      </c>
      <c r="G228" s="54">
        <f>SUM(G224:G227)</f>
        <v>15979.2</v>
      </c>
      <c r="H228" s="54">
        <f>SUM(H224:H227)</f>
        <v>29183.33</v>
      </c>
      <c r="I228" s="55">
        <f>SUM(I224:I227)</f>
        <v>0</v>
      </c>
      <c r="J228" s="86"/>
    </row>
    <row r="229" spans="1:10" s="86" customFormat="1" x14ac:dyDescent="0.25">
      <c r="A229" s="66"/>
      <c r="B229" s="61"/>
      <c r="C229" s="61"/>
      <c r="D229" s="61"/>
      <c r="E229" s="59"/>
      <c r="F229" s="61"/>
      <c r="G229" s="85"/>
      <c r="H229" s="85"/>
      <c r="I229" s="61"/>
    </row>
    <row r="230" spans="1:10" ht="15.75" thickBot="1" x14ac:dyDescent="0.3">
      <c r="A230" s="45"/>
      <c r="B230" s="58"/>
      <c r="C230" s="58"/>
      <c r="D230" s="58"/>
      <c r="E230" s="59"/>
      <c r="F230" s="60"/>
      <c r="G230" s="60"/>
      <c r="H230" s="60"/>
      <c r="I230" s="61"/>
    </row>
    <row r="231" spans="1:10" x14ac:dyDescent="0.25">
      <c r="A231" s="84" t="str">
        <f>'PRESUP-SOT-3P'!A44</f>
        <v>06.01</v>
      </c>
      <c r="B231" s="56" t="str">
        <f>'PRESUP-SOT-3P'!B44</f>
        <v xml:space="preserve">Cerramiento en Polisombra blanca,H=2.10M, guadua </v>
      </c>
      <c r="C231" s="48" t="s">
        <v>11</v>
      </c>
      <c r="D231" s="48" t="s">
        <v>12</v>
      </c>
      <c r="E231" s="49" t="s">
        <v>5</v>
      </c>
      <c r="F231" s="50" t="s">
        <v>13</v>
      </c>
      <c r="G231" s="50" t="s">
        <v>14</v>
      </c>
      <c r="H231" s="50" t="s">
        <v>15</v>
      </c>
      <c r="I231" s="51" t="s">
        <v>16</v>
      </c>
    </row>
    <row r="232" spans="1:10" x14ac:dyDescent="0.25">
      <c r="A232" s="45"/>
      <c r="B232" s="89" t="s">
        <v>132</v>
      </c>
      <c r="C232" s="90" t="s">
        <v>67</v>
      </c>
      <c r="D232" s="117">
        <v>0.1</v>
      </c>
      <c r="E232" s="117">
        <v>3600</v>
      </c>
      <c r="F232" s="96">
        <f>E232*D232</f>
        <v>360</v>
      </c>
      <c r="G232" s="96"/>
      <c r="H232" s="96"/>
      <c r="I232" s="96"/>
    </row>
    <row r="233" spans="1:10" x14ac:dyDescent="0.25">
      <c r="A233" s="10"/>
      <c r="B233" s="89" t="s">
        <v>90</v>
      </c>
      <c r="C233" s="90" t="s">
        <v>91</v>
      </c>
      <c r="D233" s="117">
        <v>0.1</v>
      </c>
      <c r="E233" s="117">
        <v>15000</v>
      </c>
      <c r="F233" s="96">
        <f>E233*D233</f>
        <v>1500</v>
      </c>
      <c r="G233" s="91"/>
      <c r="H233" s="91"/>
      <c r="I233" s="92"/>
    </row>
    <row r="234" spans="1:10" x14ac:dyDescent="0.25">
      <c r="A234" s="10"/>
      <c r="B234" s="89" t="s">
        <v>147</v>
      </c>
      <c r="C234" s="90" t="s">
        <v>8</v>
      </c>
      <c r="D234" s="117">
        <v>1</v>
      </c>
      <c r="E234" s="117">
        <v>1984.2</v>
      </c>
      <c r="F234" s="91"/>
      <c r="G234" s="91">
        <f>E234*D234</f>
        <v>1984.2</v>
      </c>
      <c r="H234" s="91"/>
      <c r="I234" s="92"/>
    </row>
    <row r="235" spans="1:10" x14ac:dyDescent="0.25">
      <c r="A235" s="10"/>
      <c r="B235" s="89" t="s">
        <v>148</v>
      </c>
      <c r="C235" s="90" t="s">
        <v>149</v>
      </c>
      <c r="D235" s="117">
        <v>0.1</v>
      </c>
      <c r="E235" s="117">
        <v>1650</v>
      </c>
      <c r="F235" s="91"/>
      <c r="G235" s="91">
        <f>E235*D235</f>
        <v>165</v>
      </c>
      <c r="H235" s="91"/>
      <c r="I235" s="92"/>
    </row>
    <row r="236" spans="1:10" x14ac:dyDescent="0.25">
      <c r="A236" s="10"/>
      <c r="B236" s="89" t="s">
        <v>141</v>
      </c>
      <c r="C236" s="90" t="s">
        <v>0</v>
      </c>
      <c r="D236" s="117">
        <v>0.1</v>
      </c>
      <c r="E236" s="117">
        <v>11000</v>
      </c>
      <c r="F236" s="91"/>
      <c r="G236" s="91">
        <f>E236*D236</f>
        <v>1100</v>
      </c>
      <c r="H236" s="91"/>
      <c r="I236" s="92"/>
    </row>
    <row r="237" spans="1:10" x14ac:dyDescent="0.25">
      <c r="A237" s="10"/>
      <c r="B237" s="89" t="s">
        <v>113</v>
      </c>
      <c r="C237" s="90" t="s">
        <v>71</v>
      </c>
      <c r="D237" s="117">
        <v>0.5</v>
      </c>
      <c r="E237" s="117">
        <v>10500</v>
      </c>
      <c r="F237" s="91"/>
      <c r="G237" s="91">
        <f>E237*D237</f>
        <v>5250</v>
      </c>
      <c r="H237" s="91"/>
      <c r="I237" s="92"/>
    </row>
    <row r="238" spans="1:10" ht="15.75" thickBot="1" x14ac:dyDescent="0.3">
      <c r="A238" s="10"/>
      <c r="B238" s="89" t="s">
        <v>150</v>
      </c>
      <c r="C238" s="90" t="s">
        <v>52</v>
      </c>
      <c r="D238" s="117">
        <v>1</v>
      </c>
      <c r="E238" s="117">
        <v>1650</v>
      </c>
      <c r="F238" s="91"/>
      <c r="G238" s="91"/>
      <c r="H238" s="91">
        <f>E238*D238</f>
        <v>1650</v>
      </c>
      <c r="I238" s="92"/>
    </row>
    <row r="239" spans="1:10" ht="15.75" thickBot="1" x14ac:dyDescent="0.3">
      <c r="A239" s="10"/>
      <c r="B239" s="11" t="s">
        <v>17</v>
      </c>
      <c r="C239" s="19" t="s">
        <v>8</v>
      </c>
      <c r="D239" s="19"/>
      <c r="E239" s="52">
        <f>SUM(F239:I239)</f>
        <v>12009.2</v>
      </c>
      <c r="F239" s="121">
        <f>SUM(F232:F238)</f>
        <v>1860</v>
      </c>
      <c r="G239" s="54">
        <f>SUM(G233:G238)</f>
        <v>8499.2000000000007</v>
      </c>
      <c r="H239" s="54">
        <f>SUM(H233:H238)</f>
        <v>1650</v>
      </c>
      <c r="I239" s="55">
        <f>SUM(I233:I238)</f>
        <v>0</v>
      </c>
      <c r="J239" s="86"/>
    </row>
    <row r="240" spans="1:10" ht="15.75" thickBot="1" x14ac:dyDescent="0.3">
      <c r="A240" s="86"/>
      <c r="B240" s="99"/>
      <c r="C240" s="99"/>
      <c r="D240" s="99"/>
      <c r="E240" s="97"/>
      <c r="F240" s="97"/>
      <c r="G240" s="97"/>
      <c r="H240" s="97"/>
      <c r="I240" s="98"/>
      <c r="J240" s="86"/>
    </row>
    <row r="241" spans="1:10" ht="25.5" x14ac:dyDescent="0.25">
      <c r="A241" s="84" t="str">
        <f>'PRESUP-SOT-3P'!A45</f>
        <v>06.02</v>
      </c>
      <c r="B241" s="47" t="str">
        <f>'PRESUP-SOT-3P'!B45</f>
        <v>Corte y retiro de árboles H&gt;=6m y acopio de madera (incluye raices)</v>
      </c>
      <c r="C241" s="48" t="s">
        <v>11</v>
      </c>
      <c r="D241" s="48" t="s">
        <v>12</v>
      </c>
      <c r="E241" s="49" t="s">
        <v>5</v>
      </c>
      <c r="F241" s="50" t="s">
        <v>13</v>
      </c>
      <c r="G241" s="50" t="s">
        <v>14</v>
      </c>
      <c r="H241" s="50" t="s">
        <v>15</v>
      </c>
      <c r="I241" s="51" t="s">
        <v>16</v>
      </c>
    </row>
    <row r="242" spans="1:10" x14ac:dyDescent="0.25">
      <c r="A242" s="10"/>
      <c r="B242" s="89" t="s">
        <v>88</v>
      </c>
      <c r="C242" s="90" t="s">
        <v>89</v>
      </c>
      <c r="D242" s="117">
        <v>0.4</v>
      </c>
      <c r="E242" s="117">
        <v>90000</v>
      </c>
      <c r="F242" s="91">
        <f>E242*D242</f>
        <v>36000</v>
      </c>
      <c r="G242" s="91"/>
      <c r="H242" s="91"/>
      <c r="I242" s="92"/>
    </row>
    <row r="243" spans="1:10" x14ac:dyDescent="0.25">
      <c r="A243" s="10"/>
      <c r="B243" s="89" t="s">
        <v>90</v>
      </c>
      <c r="C243" s="90" t="s">
        <v>91</v>
      </c>
      <c r="D243" s="117">
        <v>0.5</v>
      </c>
      <c r="E243" s="117">
        <v>15000</v>
      </c>
      <c r="F243" s="91">
        <f>E243*D243</f>
        <v>7500</v>
      </c>
      <c r="G243" s="91"/>
      <c r="H243" s="91"/>
      <c r="I243" s="92"/>
    </row>
    <row r="244" spans="1:10" x14ac:dyDescent="0.25">
      <c r="A244" s="10"/>
      <c r="B244" s="89" t="s">
        <v>127</v>
      </c>
      <c r="C244" s="90" t="s">
        <v>125</v>
      </c>
      <c r="D244" s="117">
        <v>3</v>
      </c>
      <c r="E244" s="117">
        <v>5157</v>
      </c>
      <c r="F244" s="91"/>
      <c r="G244" s="91">
        <f>E244*D244</f>
        <v>15471</v>
      </c>
      <c r="H244" s="91"/>
      <c r="I244" s="92"/>
    </row>
    <row r="245" spans="1:10" x14ac:dyDescent="0.25">
      <c r="A245" s="10"/>
      <c r="B245" s="89" t="s">
        <v>128</v>
      </c>
      <c r="C245" s="90" t="s">
        <v>125</v>
      </c>
      <c r="D245" s="117">
        <v>2</v>
      </c>
      <c r="E245" s="117">
        <v>3714</v>
      </c>
      <c r="F245" s="91"/>
      <c r="G245" s="91">
        <f>E245*D245</f>
        <v>7428</v>
      </c>
      <c r="H245" s="91"/>
      <c r="I245" s="92"/>
    </row>
    <row r="246" spans="1:10" ht="15.75" thickBot="1" x14ac:dyDescent="0.3">
      <c r="A246" s="10"/>
      <c r="B246" s="89" t="s">
        <v>129</v>
      </c>
      <c r="C246" s="90" t="s">
        <v>130</v>
      </c>
      <c r="D246" s="117">
        <v>1</v>
      </c>
      <c r="E246" s="117">
        <v>25000</v>
      </c>
      <c r="F246" s="91"/>
      <c r="G246" s="91">
        <f>E246*D246</f>
        <v>25000</v>
      </c>
      <c r="H246" s="91"/>
      <c r="I246" s="92"/>
    </row>
    <row r="247" spans="1:10" ht="15.75" thickBot="1" x14ac:dyDescent="0.3">
      <c r="A247" s="10"/>
      <c r="B247" s="11" t="s">
        <v>17</v>
      </c>
      <c r="C247" s="19" t="s">
        <v>0</v>
      </c>
      <c r="D247" s="19"/>
      <c r="E247" s="115">
        <f>SUM(F247+G247+H247+I247)</f>
        <v>91399</v>
      </c>
      <c r="F247" s="53">
        <f>SUM(F242:F246)</f>
        <v>43500</v>
      </c>
      <c r="G247" s="54">
        <f>SUM(G242:G246)</f>
        <v>47899</v>
      </c>
      <c r="H247" s="54">
        <f>SUM(H242:H246)</f>
        <v>0</v>
      </c>
      <c r="I247" s="55">
        <f>SUM(I242:I246)</f>
        <v>0</v>
      </c>
      <c r="J247" s="86"/>
    </row>
    <row r="248" spans="1:10" ht="15.75" thickBot="1" x14ac:dyDescent="0.3">
      <c r="A248" s="66"/>
      <c r="B248" s="61"/>
      <c r="C248" s="61"/>
      <c r="D248" s="61"/>
      <c r="E248" s="59"/>
      <c r="F248" s="61"/>
      <c r="G248" s="85"/>
      <c r="H248" s="85"/>
      <c r="I248" s="61"/>
      <c r="J248" s="86"/>
    </row>
    <row r="249" spans="1:10" x14ac:dyDescent="0.25">
      <c r="A249" s="84" t="str">
        <f>'PRESUP-SOT-3P'!A46</f>
        <v>06.03</v>
      </c>
      <c r="B249" s="47" t="str">
        <f>'PRESUP-SOT-3P'!B46</f>
        <v>Siembra de planta nativa Hprom=0.80m</v>
      </c>
      <c r="C249" s="48" t="s">
        <v>11</v>
      </c>
      <c r="D249" s="48" t="s">
        <v>12</v>
      </c>
      <c r="E249" s="49" t="s">
        <v>5</v>
      </c>
      <c r="F249" s="50" t="s">
        <v>13</v>
      </c>
      <c r="G249" s="50" t="s">
        <v>14</v>
      </c>
      <c r="H249" s="50" t="s">
        <v>15</v>
      </c>
      <c r="I249" s="51" t="s">
        <v>16</v>
      </c>
      <c r="J249" s="86"/>
    </row>
    <row r="250" spans="1:10" x14ac:dyDescent="0.25">
      <c r="A250" s="10"/>
      <c r="B250" s="89" t="s">
        <v>90</v>
      </c>
      <c r="C250" s="90" t="s">
        <v>91</v>
      </c>
      <c r="D250" s="117">
        <v>0.02</v>
      </c>
      <c r="E250" s="117">
        <v>15000</v>
      </c>
      <c r="F250" s="91">
        <f>E250*D250</f>
        <v>300</v>
      </c>
      <c r="G250" s="91"/>
      <c r="H250" s="91" t="s">
        <v>1</v>
      </c>
      <c r="I250" s="92" t="s">
        <v>1</v>
      </c>
    </row>
    <row r="251" spans="1:10" x14ac:dyDescent="0.25">
      <c r="A251" s="10"/>
      <c r="B251" s="89" t="s">
        <v>151</v>
      </c>
      <c r="C251" s="90" t="s">
        <v>71</v>
      </c>
      <c r="D251" s="117">
        <v>1</v>
      </c>
      <c r="E251" s="117">
        <v>20000</v>
      </c>
      <c r="F251" s="91"/>
      <c r="G251" s="91">
        <f>E251*D251</f>
        <v>20000</v>
      </c>
      <c r="H251" s="91" t="s">
        <v>1</v>
      </c>
      <c r="I251" s="92" t="s">
        <v>1</v>
      </c>
    </row>
    <row r="252" spans="1:10" x14ac:dyDescent="0.25">
      <c r="A252" s="10"/>
      <c r="B252" s="89" t="s">
        <v>152</v>
      </c>
      <c r="C252" s="90" t="s">
        <v>53</v>
      </c>
      <c r="D252" s="117">
        <v>0.1</v>
      </c>
      <c r="E252" s="117">
        <v>40000</v>
      </c>
      <c r="F252" s="91" t="s">
        <v>1</v>
      </c>
      <c r="G252" s="91">
        <f>E252*D252</f>
        <v>4000</v>
      </c>
      <c r="H252" s="91"/>
      <c r="I252" s="92" t="s">
        <v>1</v>
      </c>
    </row>
    <row r="253" spans="1:10" ht="15.75" thickBot="1" x14ac:dyDescent="0.3">
      <c r="A253" s="10"/>
      <c r="B253" s="89" t="s">
        <v>153</v>
      </c>
      <c r="C253" s="90" t="s">
        <v>154</v>
      </c>
      <c r="D253" s="117">
        <v>0.15</v>
      </c>
      <c r="E253" s="117">
        <v>50000</v>
      </c>
      <c r="F253" s="91"/>
      <c r="G253" s="91"/>
      <c r="H253" s="91">
        <f>E253*D253</f>
        <v>7500</v>
      </c>
      <c r="I253" s="92"/>
    </row>
    <row r="254" spans="1:10" ht="15.75" thickBot="1" x14ac:dyDescent="0.3">
      <c r="A254" s="10"/>
      <c r="B254" s="11" t="s">
        <v>34</v>
      </c>
      <c r="C254" s="19" t="s">
        <v>8</v>
      </c>
      <c r="D254" s="19"/>
      <c r="E254" s="52">
        <f>+F254+G254+H254+I254</f>
        <v>31800</v>
      </c>
      <c r="F254" s="53">
        <f>SUM(F250:F253)</f>
        <v>300</v>
      </c>
      <c r="G254" s="54">
        <f>SUM(G250:G253)</f>
        <v>24000</v>
      </c>
      <c r="H254" s="54">
        <f>SUM(H250:H253)</f>
        <v>7500</v>
      </c>
      <c r="I254" s="55">
        <f>SUM(I250:I253)</f>
        <v>0</v>
      </c>
      <c r="J254" s="86"/>
    </row>
    <row r="255" spans="1:10" x14ac:dyDescent="0.25">
      <c r="A255" s="86"/>
      <c r="B255" s="61"/>
      <c r="C255" s="61"/>
      <c r="D255" s="61"/>
      <c r="E255" s="60"/>
      <c r="F255" s="61"/>
      <c r="G255" s="100"/>
      <c r="H255" s="100"/>
      <c r="I255" s="61"/>
      <c r="J255" s="86"/>
    </row>
    <row r="256" spans="1:10" ht="15.75" thickBot="1" x14ac:dyDescent="0.3"/>
    <row r="257" spans="1:9" ht="14.25" customHeight="1" x14ac:dyDescent="0.25">
      <c r="A257" s="46" t="str">
        <f>'PRESUP-SOT-3P'!A50</f>
        <v>07.01</v>
      </c>
      <c r="B257" s="47" t="str">
        <f>'PRESUP-SOT-3P'!B50</f>
        <v>Disipador y estructura de alivio 5.5 X 1.2 X 2.8</v>
      </c>
      <c r="C257" s="48" t="s">
        <v>11</v>
      </c>
      <c r="D257" s="48" t="s">
        <v>12</v>
      </c>
      <c r="E257" s="49" t="s">
        <v>5</v>
      </c>
      <c r="F257" s="50" t="s">
        <v>13</v>
      </c>
      <c r="G257" s="50" t="s">
        <v>14</v>
      </c>
      <c r="H257" s="50" t="s">
        <v>15</v>
      </c>
      <c r="I257" s="51" t="s">
        <v>16</v>
      </c>
    </row>
    <row r="258" spans="1:9" x14ac:dyDescent="0.25">
      <c r="A258" s="10"/>
      <c r="B258" s="89" t="s">
        <v>135</v>
      </c>
      <c r="C258" s="90" t="s">
        <v>8</v>
      </c>
      <c r="D258" s="117">
        <f>0.5*15</f>
        <v>7.5</v>
      </c>
      <c r="E258" s="145">
        <v>6500</v>
      </c>
      <c r="F258" s="146">
        <f>E258*D258</f>
        <v>48750</v>
      </c>
      <c r="G258" s="146"/>
      <c r="H258" s="146"/>
      <c r="I258" s="147"/>
    </row>
    <row r="259" spans="1:9" x14ac:dyDescent="0.25">
      <c r="A259" s="10"/>
      <c r="B259" s="89" t="s">
        <v>98</v>
      </c>
      <c r="C259" s="90" t="s">
        <v>65</v>
      </c>
      <c r="D259" s="117">
        <f>0.75*15</f>
        <v>11.25</v>
      </c>
      <c r="E259" s="145">
        <v>5040.2</v>
      </c>
      <c r="F259" s="146">
        <f t="shared" ref="F259:F264" si="16">E259*D259</f>
        <v>56702.25</v>
      </c>
      <c r="G259" s="146"/>
      <c r="H259" s="146"/>
      <c r="I259" s="147"/>
    </row>
    <row r="260" spans="1:9" x14ac:dyDescent="0.25">
      <c r="A260" s="10"/>
      <c r="B260" s="89" t="s">
        <v>90</v>
      </c>
      <c r="C260" s="90" t="s">
        <v>91</v>
      </c>
      <c r="D260" s="117">
        <f>0.3*15</f>
        <v>4.5</v>
      </c>
      <c r="E260" s="145">
        <v>15000</v>
      </c>
      <c r="F260" s="146">
        <f t="shared" si="16"/>
        <v>67500</v>
      </c>
      <c r="G260" s="146"/>
      <c r="H260" s="146"/>
      <c r="I260" s="147"/>
    </row>
    <row r="261" spans="1:9" x14ac:dyDescent="0.25">
      <c r="A261" s="10"/>
      <c r="B261" s="89" t="s">
        <v>102</v>
      </c>
      <c r="C261" s="90" t="s">
        <v>65</v>
      </c>
      <c r="D261" s="117">
        <f>0.45*15</f>
        <v>6.75</v>
      </c>
      <c r="E261" s="145">
        <v>17400</v>
      </c>
      <c r="F261" s="146">
        <f t="shared" si="16"/>
        <v>117450</v>
      </c>
      <c r="G261" s="146"/>
      <c r="H261" s="146"/>
      <c r="I261" s="147"/>
    </row>
    <row r="262" spans="1:9" x14ac:dyDescent="0.25">
      <c r="A262" s="10"/>
      <c r="B262" s="89" t="s">
        <v>103</v>
      </c>
      <c r="C262" s="90" t="s">
        <v>65</v>
      </c>
      <c r="D262" s="117">
        <f>1.5*15</f>
        <v>22.5</v>
      </c>
      <c r="E262" s="145">
        <v>3723</v>
      </c>
      <c r="F262" s="146">
        <f t="shared" si="16"/>
        <v>83767.5</v>
      </c>
      <c r="G262" s="146"/>
      <c r="H262" s="146"/>
      <c r="I262" s="147"/>
    </row>
    <row r="263" spans="1:9" x14ac:dyDescent="0.25">
      <c r="A263" s="10"/>
      <c r="B263" s="89" t="s">
        <v>136</v>
      </c>
      <c r="C263" s="90" t="s">
        <v>0</v>
      </c>
      <c r="D263" s="117">
        <f>0.4*15</f>
        <v>6</v>
      </c>
      <c r="E263" s="145">
        <v>250000</v>
      </c>
      <c r="F263" s="146">
        <f t="shared" si="16"/>
        <v>1500000</v>
      </c>
      <c r="G263" s="146"/>
      <c r="H263" s="146"/>
      <c r="I263" s="147"/>
    </row>
    <row r="264" spans="1:9" x14ac:dyDescent="0.25">
      <c r="A264" s="10"/>
      <c r="B264" s="89" t="s">
        <v>133</v>
      </c>
      <c r="C264" s="90" t="s">
        <v>71</v>
      </c>
      <c r="D264" s="117">
        <v>200</v>
      </c>
      <c r="E264" s="145">
        <v>1000</v>
      </c>
      <c r="F264" s="146">
        <f t="shared" si="16"/>
        <v>200000</v>
      </c>
      <c r="G264" s="146"/>
      <c r="H264" s="146"/>
      <c r="I264" s="147"/>
    </row>
    <row r="265" spans="1:9" x14ac:dyDescent="0.25">
      <c r="A265" s="10"/>
      <c r="B265" s="89" t="s">
        <v>207</v>
      </c>
      <c r="C265" s="90" t="s">
        <v>42</v>
      </c>
      <c r="D265" s="117">
        <v>2</v>
      </c>
      <c r="E265" s="145">
        <v>300000</v>
      </c>
      <c r="F265" s="146"/>
      <c r="G265" s="146">
        <f t="shared" ref="G265:G271" si="17">E265*D265</f>
        <v>600000</v>
      </c>
      <c r="H265" s="146"/>
      <c r="I265" s="147"/>
    </row>
    <row r="266" spans="1:9" x14ac:dyDescent="0.25">
      <c r="A266" s="10"/>
      <c r="B266" s="89" t="s">
        <v>155</v>
      </c>
      <c r="C266" s="90" t="s">
        <v>53</v>
      </c>
      <c r="D266" s="117">
        <v>6</v>
      </c>
      <c r="E266" s="145">
        <v>319584</v>
      </c>
      <c r="F266" s="146"/>
      <c r="G266" s="146">
        <f t="shared" si="17"/>
        <v>1917504</v>
      </c>
      <c r="H266" s="146"/>
      <c r="I266" s="147"/>
    </row>
    <row r="267" spans="1:9" x14ac:dyDescent="0.25">
      <c r="A267" s="45"/>
      <c r="B267" s="89" t="s">
        <v>132</v>
      </c>
      <c r="C267" s="90" t="s">
        <v>67</v>
      </c>
      <c r="D267" s="117">
        <v>250</v>
      </c>
      <c r="E267" s="145">
        <v>3600</v>
      </c>
      <c r="F267" s="148"/>
      <c r="G267" s="146">
        <f t="shared" si="17"/>
        <v>900000</v>
      </c>
      <c r="H267" s="148"/>
      <c r="I267" s="148"/>
    </row>
    <row r="268" spans="1:9" x14ac:dyDescent="0.25">
      <c r="A268" s="10"/>
      <c r="B268" s="89" t="s">
        <v>139</v>
      </c>
      <c r="C268" s="90" t="s">
        <v>140</v>
      </c>
      <c r="D268" s="117">
        <v>1</v>
      </c>
      <c r="E268" s="145">
        <v>2579.5</v>
      </c>
      <c r="F268" s="146"/>
      <c r="G268" s="146">
        <f t="shared" si="17"/>
        <v>2579.5</v>
      </c>
      <c r="H268" s="146"/>
      <c r="I268" s="147"/>
    </row>
    <row r="269" spans="1:9" x14ac:dyDescent="0.25">
      <c r="A269" s="10"/>
      <c r="B269" s="137" t="s">
        <v>209</v>
      </c>
      <c r="C269" s="138" t="s">
        <v>41</v>
      </c>
      <c r="D269" s="117">
        <v>11</v>
      </c>
      <c r="E269" s="145">
        <v>15777.78</v>
      </c>
      <c r="F269" s="146"/>
      <c r="G269" s="146">
        <f t="shared" si="17"/>
        <v>173555.58000000002</v>
      </c>
      <c r="H269" s="146"/>
      <c r="I269" s="147"/>
    </row>
    <row r="270" spans="1:9" x14ac:dyDescent="0.25">
      <c r="A270" s="10"/>
      <c r="B270" s="89" t="s">
        <v>142</v>
      </c>
      <c r="C270" s="90" t="s">
        <v>65</v>
      </c>
      <c r="D270" s="117">
        <v>7</v>
      </c>
      <c r="E270" s="145">
        <v>8400</v>
      </c>
      <c r="F270" s="146"/>
      <c r="G270" s="146">
        <f t="shared" si="17"/>
        <v>58800</v>
      </c>
      <c r="H270" s="146"/>
      <c r="I270" s="147"/>
    </row>
    <row r="271" spans="1:9" x14ac:dyDescent="0.25">
      <c r="A271" s="10"/>
      <c r="B271" s="89" t="s">
        <v>113</v>
      </c>
      <c r="C271" s="90" t="s">
        <v>71</v>
      </c>
      <c r="D271" s="117">
        <v>2</v>
      </c>
      <c r="E271" s="145">
        <v>10500</v>
      </c>
      <c r="F271" s="146"/>
      <c r="G271" s="146">
        <f t="shared" si="17"/>
        <v>21000</v>
      </c>
      <c r="H271" s="146"/>
      <c r="I271" s="147"/>
    </row>
    <row r="272" spans="1:9" ht="15.75" thickBot="1" x14ac:dyDescent="0.3">
      <c r="A272" s="10"/>
      <c r="B272" s="89" t="s">
        <v>143</v>
      </c>
      <c r="C272" s="90" t="s">
        <v>53</v>
      </c>
      <c r="D272" s="117">
        <v>30</v>
      </c>
      <c r="E272" s="145">
        <v>36400</v>
      </c>
      <c r="F272" s="146"/>
      <c r="G272" s="146"/>
      <c r="H272" s="146">
        <f>E272*D272</f>
        <v>1092000</v>
      </c>
      <c r="I272" s="147"/>
    </row>
    <row r="273" spans="1:10" ht="15.75" thickBot="1" x14ac:dyDescent="0.3">
      <c r="A273" s="10"/>
      <c r="B273" s="11" t="s">
        <v>17</v>
      </c>
      <c r="C273" s="19" t="s">
        <v>42</v>
      </c>
      <c r="D273" s="19"/>
      <c r="E273" s="144">
        <f>SUM(F273+G273+H273+I273)</f>
        <v>6839608.8300000001</v>
      </c>
      <c r="F273" s="152">
        <f>SUM(F258:F272)</f>
        <v>2074169.75</v>
      </c>
      <c r="G273" s="152">
        <f>SUM(G258:G272)</f>
        <v>3673439.08</v>
      </c>
      <c r="H273" s="152">
        <f>SUM(H258:H272)</f>
        <v>1092000</v>
      </c>
      <c r="I273" s="55"/>
      <c r="J273" s="86"/>
    </row>
    <row r="275" spans="1:10" ht="15.75" thickBot="1" x14ac:dyDescent="0.3"/>
    <row r="276" spans="1:10" ht="14.25" customHeight="1" x14ac:dyDescent="0.25">
      <c r="A276" s="46" t="str">
        <f>'PRESUP-SOT-3P'!A54</f>
        <v>08.01</v>
      </c>
      <c r="B276" s="47" t="str">
        <f>'PRESUP-SOT-3P'!B54</f>
        <v>Cámara separadora de flujo</v>
      </c>
      <c r="C276" s="48" t="s">
        <v>11</v>
      </c>
      <c r="D276" s="48" t="s">
        <v>12</v>
      </c>
      <c r="E276" s="49" t="s">
        <v>5</v>
      </c>
      <c r="F276" s="50" t="s">
        <v>13</v>
      </c>
      <c r="G276" s="50" t="s">
        <v>14</v>
      </c>
      <c r="H276" s="50" t="s">
        <v>15</v>
      </c>
      <c r="I276" s="51" t="s">
        <v>16</v>
      </c>
    </row>
    <row r="277" spans="1:10" x14ac:dyDescent="0.25">
      <c r="A277" s="10"/>
      <c r="B277" s="89" t="s">
        <v>135</v>
      </c>
      <c r="C277" s="90" t="s">
        <v>8</v>
      </c>
      <c r="D277" s="117">
        <v>3.1</v>
      </c>
      <c r="E277" s="145">
        <v>6500</v>
      </c>
      <c r="F277" s="146">
        <f>E277*D277</f>
        <v>20150</v>
      </c>
      <c r="G277" s="146"/>
      <c r="H277" s="146"/>
      <c r="I277" s="147"/>
    </row>
    <row r="278" spans="1:10" x14ac:dyDescent="0.25">
      <c r="A278" s="10"/>
      <c r="B278" s="89" t="s">
        <v>98</v>
      </c>
      <c r="C278" s="90" t="s">
        <v>65</v>
      </c>
      <c r="D278" s="117">
        <v>0.4</v>
      </c>
      <c r="E278" s="145">
        <v>5040.2</v>
      </c>
      <c r="F278" s="146">
        <f t="shared" ref="F278:F283" si="18">E278*D278</f>
        <v>2016.08</v>
      </c>
      <c r="G278" s="146"/>
      <c r="H278" s="146"/>
      <c r="I278" s="147"/>
    </row>
    <row r="279" spans="1:10" x14ac:dyDescent="0.25">
      <c r="A279" s="10"/>
      <c r="B279" s="89" t="s">
        <v>90</v>
      </c>
      <c r="C279" s="90" t="s">
        <v>91</v>
      </c>
      <c r="D279" s="117">
        <v>1</v>
      </c>
      <c r="E279" s="145">
        <v>15000</v>
      </c>
      <c r="F279" s="146">
        <f t="shared" si="18"/>
        <v>15000</v>
      </c>
      <c r="G279" s="146"/>
      <c r="H279" s="146"/>
      <c r="I279" s="147"/>
    </row>
    <row r="280" spans="1:10" x14ac:dyDescent="0.25">
      <c r="A280" s="10"/>
      <c r="B280" s="89" t="s">
        <v>102</v>
      </c>
      <c r="C280" s="90" t="s">
        <v>65</v>
      </c>
      <c r="D280" s="117">
        <v>0.2</v>
      </c>
      <c r="E280" s="145">
        <v>17400</v>
      </c>
      <c r="F280" s="146">
        <f t="shared" si="18"/>
        <v>3480</v>
      </c>
      <c r="G280" s="146"/>
      <c r="H280" s="146"/>
      <c r="I280" s="147"/>
    </row>
    <row r="281" spans="1:10" x14ac:dyDescent="0.25">
      <c r="A281" s="10"/>
      <c r="B281" s="89" t="s">
        <v>103</v>
      </c>
      <c r="C281" s="90" t="s">
        <v>65</v>
      </c>
      <c r="D281" s="117">
        <v>0.7</v>
      </c>
      <c r="E281" s="145">
        <v>3723</v>
      </c>
      <c r="F281" s="146">
        <f t="shared" si="18"/>
        <v>2606.1</v>
      </c>
      <c r="G281" s="146"/>
      <c r="H281" s="146"/>
      <c r="I281" s="147"/>
    </row>
    <row r="282" spans="1:10" x14ac:dyDescent="0.25">
      <c r="A282" s="10"/>
      <c r="B282" s="89" t="s">
        <v>136</v>
      </c>
      <c r="C282" s="90" t="s">
        <v>0</v>
      </c>
      <c r="D282" s="117">
        <v>0.14000000000000001</v>
      </c>
      <c r="E282" s="145">
        <v>250000</v>
      </c>
      <c r="F282" s="146">
        <f t="shared" si="18"/>
        <v>35000</v>
      </c>
      <c r="G282" s="146"/>
      <c r="H282" s="146"/>
      <c r="I282" s="147"/>
    </row>
    <row r="283" spans="1:10" s="140" customFormat="1" ht="15.75" customHeight="1" x14ac:dyDescent="0.25">
      <c r="A283" s="136"/>
      <c r="B283" s="137" t="s">
        <v>133</v>
      </c>
      <c r="C283" s="138" t="s">
        <v>220</v>
      </c>
      <c r="D283" s="139">
        <v>19.600000000000001</v>
      </c>
      <c r="E283" s="149">
        <v>1000</v>
      </c>
      <c r="F283" s="150">
        <f t="shared" si="18"/>
        <v>19600</v>
      </c>
      <c r="G283" s="150"/>
      <c r="H283" s="150"/>
      <c r="I283" s="151"/>
    </row>
    <row r="284" spans="1:10" x14ac:dyDescent="0.25">
      <c r="A284" s="10"/>
      <c r="B284" s="89" t="s">
        <v>207</v>
      </c>
      <c r="C284" s="90" t="s">
        <v>42</v>
      </c>
      <c r="D284" s="117">
        <v>1.1499999999999999</v>
      </c>
      <c r="E284" s="145">
        <v>300000</v>
      </c>
      <c r="F284" s="146"/>
      <c r="G284" s="146">
        <f t="shared" ref="G284:G290" si="19">E284*D284</f>
        <v>345000</v>
      </c>
      <c r="H284" s="146"/>
      <c r="I284" s="147"/>
    </row>
    <row r="285" spans="1:10" ht="18" customHeight="1" x14ac:dyDescent="0.25">
      <c r="A285" s="10"/>
      <c r="B285" s="89" t="s">
        <v>155</v>
      </c>
      <c r="C285" s="90" t="s">
        <v>53</v>
      </c>
      <c r="D285" s="117">
        <v>5.85</v>
      </c>
      <c r="E285" s="145">
        <v>319584</v>
      </c>
      <c r="F285" s="146"/>
      <c r="G285" s="146">
        <f t="shared" si="19"/>
        <v>1869566.4</v>
      </c>
      <c r="H285" s="146"/>
      <c r="I285" s="147"/>
    </row>
    <row r="286" spans="1:10" x14ac:dyDescent="0.25">
      <c r="A286" s="45"/>
      <c r="B286" s="89" t="s">
        <v>132</v>
      </c>
      <c r="C286" s="90" t="s">
        <v>67</v>
      </c>
      <c r="D286" s="117">
        <v>70</v>
      </c>
      <c r="E286" s="145">
        <v>3600</v>
      </c>
      <c r="F286" s="148"/>
      <c r="G286" s="146">
        <f t="shared" si="19"/>
        <v>252000</v>
      </c>
      <c r="H286" s="148"/>
      <c r="I286" s="148"/>
    </row>
    <row r="287" spans="1:10" x14ac:dyDescent="0.25">
      <c r="A287" s="10"/>
      <c r="B287" s="89" t="s">
        <v>139</v>
      </c>
      <c r="C287" s="90" t="s">
        <v>140</v>
      </c>
      <c r="D287" s="117">
        <v>2</v>
      </c>
      <c r="E287" s="145">
        <v>2579.5</v>
      </c>
      <c r="F287" s="146"/>
      <c r="G287" s="146">
        <f t="shared" si="19"/>
        <v>5159</v>
      </c>
      <c r="H287" s="146"/>
      <c r="I287" s="147"/>
    </row>
    <row r="288" spans="1:10" s="140" customFormat="1" x14ac:dyDescent="0.25">
      <c r="A288" s="136"/>
      <c r="B288" s="137" t="s">
        <v>208</v>
      </c>
      <c r="C288" s="138" t="s">
        <v>41</v>
      </c>
      <c r="D288" s="139">
        <v>11</v>
      </c>
      <c r="E288" s="149">
        <v>15777.78</v>
      </c>
      <c r="F288" s="150"/>
      <c r="G288" s="150">
        <f t="shared" si="19"/>
        <v>173555.58000000002</v>
      </c>
      <c r="H288" s="150"/>
      <c r="I288" s="151"/>
    </row>
    <row r="289" spans="1:10" x14ac:dyDescent="0.25">
      <c r="A289" s="10"/>
      <c r="B289" s="89" t="s">
        <v>142</v>
      </c>
      <c r="C289" s="90" t="s">
        <v>65</v>
      </c>
      <c r="D289" s="117">
        <v>5</v>
      </c>
      <c r="E289" s="145">
        <v>8400</v>
      </c>
      <c r="F289" s="146"/>
      <c r="G289" s="146">
        <f t="shared" si="19"/>
        <v>42000</v>
      </c>
      <c r="H289" s="146"/>
      <c r="I289" s="147"/>
    </row>
    <row r="290" spans="1:10" x14ac:dyDescent="0.25">
      <c r="A290" s="10"/>
      <c r="B290" s="89" t="s">
        <v>113</v>
      </c>
      <c r="C290" s="90" t="s">
        <v>71</v>
      </c>
      <c r="D290" s="117">
        <v>8</v>
      </c>
      <c r="E290" s="145">
        <v>10500</v>
      </c>
      <c r="F290" s="146"/>
      <c r="G290" s="146">
        <f t="shared" si="19"/>
        <v>84000</v>
      </c>
      <c r="H290" s="146"/>
      <c r="I290" s="147"/>
    </row>
    <row r="291" spans="1:10" ht="15.75" thickBot="1" x14ac:dyDescent="0.3">
      <c r="A291" s="10"/>
      <c r="B291" s="89" t="s">
        <v>218</v>
      </c>
      <c r="C291" s="90" t="s">
        <v>219</v>
      </c>
      <c r="D291" s="117">
        <v>26</v>
      </c>
      <c r="E291" s="145">
        <v>36400</v>
      </c>
      <c r="F291" s="146"/>
      <c r="G291" s="146"/>
      <c r="H291" s="146">
        <f>E291*D291</f>
        <v>946400</v>
      </c>
      <c r="I291" s="147"/>
    </row>
    <row r="292" spans="1:10" ht="15.75" thickBot="1" x14ac:dyDescent="0.3">
      <c r="A292" s="10"/>
      <c r="B292" s="11" t="s">
        <v>17</v>
      </c>
      <c r="C292" s="19" t="s">
        <v>0</v>
      </c>
      <c r="D292" s="19"/>
      <c r="E292" s="144">
        <f>SUM(F292+G292+H292+I292)</f>
        <v>3815533.16</v>
      </c>
      <c r="F292" s="152">
        <f>SUM(F277:F291)</f>
        <v>97852.18</v>
      </c>
      <c r="G292" s="152">
        <f>SUM(G277:G291)</f>
        <v>2771280.98</v>
      </c>
      <c r="H292" s="152">
        <f>SUM(H277:H291)</f>
        <v>946400</v>
      </c>
      <c r="I292" s="153"/>
      <c r="J292" s="86"/>
    </row>
  </sheetData>
  <mergeCells count="3">
    <mergeCell ref="B2:D2"/>
    <mergeCell ref="B3:D3"/>
    <mergeCell ref="B1:I1"/>
  </mergeCells>
  <printOptions horizontalCentered="1"/>
  <pageMargins left="0.39370078740157483" right="0.39370078740157483" top="0.39370078740157483" bottom="0.59055118110236227" header="0.31496062992125984" footer="0.31496062992125984"/>
  <pageSetup scale="50" fitToWidth="0" fitToHeight="0" orientation="portrait" horizontalDpi="360" verticalDpi="360" r:id="rId1"/>
  <rowBreaks count="4" manualBreakCount="4">
    <brk id="93" max="9" man="1"/>
    <brk id="175" max="9" man="1"/>
    <brk id="254" max="9" man="1"/>
    <brk id="29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6"/>
  <sheetViews>
    <sheetView view="pageBreakPreview" zoomScaleNormal="100" zoomScaleSheetLayoutView="100" workbookViewId="0">
      <pane ySplit="2" topLeftCell="A3" activePane="bottomLeft" state="frozen"/>
      <selection pane="bottomLeft" activeCell="J54" sqref="A1:J54"/>
    </sheetView>
  </sheetViews>
  <sheetFormatPr baseColWidth="10" defaultRowHeight="15" x14ac:dyDescent="0.25"/>
  <cols>
    <col min="1" max="1" width="5.85546875" customWidth="1"/>
    <col min="2" max="2" width="39.28515625" customWidth="1"/>
    <col min="3" max="3" width="10" customWidth="1"/>
    <col min="4" max="4" width="14.5703125" bestFit="1" customWidth="1"/>
    <col min="5" max="5" width="11.5703125" bestFit="1" customWidth="1"/>
    <col min="6" max="6" width="6.42578125" bestFit="1" customWidth="1"/>
    <col min="7" max="7" width="7.5703125" bestFit="1" customWidth="1"/>
    <col min="8" max="8" width="13.5703125" bestFit="1" customWidth="1"/>
    <col min="9" max="9" width="10.28515625" bestFit="1" customWidth="1"/>
    <col min="10" max="10" width="16.85546875" bestFit="1" customWidth="1"/>
  </cols>
  <sheetData>
    <row r="1" spans="1:25" ht="14.25" customHeight="1" x14ac:dyDescent="0.25">
      <c r="A1" s="172" t="s">
        <v>18</v>
      </c>
      <c r="B1" s="172"/>
      <c r="C1" s="172"/>
      <c r="D1" s="172"/>
      <c r="E1" s="172"/>
      <c r="F1" s="172"/>
      <c r="G1" s="172"/>
      <c r="H1" s="172"/>
      <c r="I1" s="172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5" x14ac:dyDescent="0.25">
      <c r="A2" s="67">
        <f>+'PRESUP-SOT-3P'!A7</f>
        <v>1</v>
      </c>
      <c r="B2" s="68" t="str">
        <f>+'PRESUP-SOT-3P'!B7</f>
        <v>EXCAVACIONES</v>
      </c>
      <c r="C2" s="69" t="s">
        <v>0</v>
      </c>
      <c r="D2" s="69" t="s">
        <v>6</v>
      </c>
      <c r="E2" s="69" t="s">
        <v>19</v>
      </c>
      <c r="F2" s="69" t="s">
        <v>20</v>
      </c>
      <c r="G2" s="69" t="s">
        <v>21</v>
      </c>
      <c r="H2" s="69" t="s">
        <v>32</v>
      </c>
      <c r="I2" s="69" t="s">
        <v>22</v>
      </c>
      <c r="J2" s="155" t="s">
        <v>30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5" ht="30.75" customHeight="1" x14ac:dyDescent="0.25">
      <c r="A3" s="101" t="str">
        <f>'PRESUP-SOT-3P'!A8</f>
        <v>01,01</v>
      </c>
      <c r="B3" s="102" t="str">
        <f>'PRESUP-SOT-3P'!B8</f>
        <v xml:space="preserve">Localización y replanteo </v>
      </c>
      <c r="C3" s="102" t="str">
        <f>'PRESUP-SOT-3P'!C8</f>
        <v>ml</v>
      </c>
      <c r="D3" s="73">
        <f>D5+D4</f>
        <v>379.73</v>
      </c>
      <c r="E3" s="73"/>
      <c r="F3" s="74"/>
      <c r="G3" s="74"/>
      <c r="H3" s="75"/>
      <c r="I3" s="75"/>
      <c r="J3" s="156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5" s="132" customFormat="1" ht="12" x14ac:dyDescent="0.25">
      <c r="B4" s="132" t="s">
        <v>43</v>
      </c>
      <c r="C4" s="132" t="s">
        <v>8</v>
      </c>
      <c r="D4" s="132">
        <f>E4</f>
        <v>86.22</v>
      </c>
      <c r="E4" s="132">
        <v>86.22</v>
      </c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4"/>
    </row>
    <row r="5" spans="1:25" s="132" customFormat="1" ht="12" x14ac:dyDescent="0.25">
      <c r="B5" s="132" t="s">
        <v>44</v>
      </c>
      <c r="C5" s="132" t="s">
        <v>8</v>
      </c>
      <c r="D5" s="132">
        <f>E5</f>
        <v>293.51</v>
      </c>
      <c r="E5" s="132">
        <v>293.51</v>
      </c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4"/>
    </row>
    <row r="6" spans="1:25" ht="30.75" customHeight="1" x14ac:dyDescent="0.25">
      <c r="A6" s="101" t="str">
        <f>'PRESUP-SOT-3P'!A9</f>
        <v>01,02</v>
      </c>
      <c r="B6" s="102" t="str">
        <f>'PRESUP-SOT-3P'!B9</f>
        <v>Excavación mecánica incluye desalojo en el sitio H&lt;=5.0m</v>
      </c>
      <c r="C6" s="103" t="s">
        <v>42</v>
      </c>
      <c r="D6" s="73">
        <f>0.7*(D7+D11)</f>
        <v>1482.7297800000001</v>
      </c>
      <c r="E6" s="73">
        <v>0.55000000000000004</v>
      </c>
      <c r="F6" s="74"/>
      <c r="G6" s="74"/>
      <c r="H6" s="75"/>
      <c r="I6" s="75"/>
      <c r="J6" s="156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5" ht="28.5" customHeight="1" x14ac:dyDescent="0.25">
      <c r="A7" s="77"/>
      <c r="B7" s="102" t="s">
        <v>43</v>
      </c>
      <c r="C7" s="73" t="s">
        <v>42</v>
      </c>
      <c r="D7" s="73">
        <f>SUM(D8:D10)</f>
        <v>258.86189999999993</v>
      </c>
      <c r="E7" s="77"/>
      <c r="F7" s="77"/>
      <c r="G7" s="77"/>
      <c r="H7" s="77"/>
      <c r="I7" s="77"/>
      <c r="J7" s="157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5" s="132" customFormat="1" ht="12" x14ac:dyDescent="0.25">
      <c r="B8" s="132" t="s">
        <v>166</v>
      </c>
      <c r="C8" s="132" t="s">
        <v>42</v>
      </c>
      <c r="D8" s="132">
        <f>G8*H8*I8</f>
        <v>263.24399999999997</v>
      </c>
      <c r="G8" s="132">
        <v>1.2</v>
      </c>
      <c r="H8" s="132">
        <v>219.37</v>
      </c>
      <c r="I8" s="132">
        <v>1</v>
      </c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4"/>
    </row>
    <row r="9" spans="1:25" s="132" customFormat="1" ht="24" x14ac:dyDescent="0.25">
      <c r="B9" s="132" t="s">
        <v>167</v>
      </c>
      <c r="C9" s="132" t="s">
        <v>42</v>
      </c>
      <c r="D9" s="132">
        <f>E9*F9*G9*I9</f>
        <v>11.137500000000003</v>
      </c>
      <c r="E9" s="132">
        <v>1.5000000000000002</v>
      </c>
      <c r="F9" s="132">
        <v>2.75</v>
      </c>
      <c r="G9" s="132">
        <v>2.7</v>
      </c>
      <c r="I9" s="132">
        <v>1</v>
      </c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4"/>
    </row>
    <row r="10" spans="1:25" s="132" customFormat="1" ht="12" x14ac:dyDescent="0.25">
      <c r="B10" s="132" t="s">
        <v>165</v>
      </c>
      <c r="C10" s="132" t="s">
        <v>42</v>
      </c>
      <c r="D10" s="132">
        <f>E10*F10*G10*I10</f>
        <v>-15.519599999999999</v>
      </c>
      <c r="E10" s="132">
        <v>86.22</v>
      </c>
      <c r="F10" s="132">
        <v>0.15</v>
      </c>
      <c r="G10" s="132">
        <v>1.2</v>
      </c>
      <c r="I10" s="132">
        <v>-1</v>
      </c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4"/>
    </row>
    <row r="11" spans="1:25" ht="28.5" customHeight="1" x14ac:dyDescent="0.25">
      <c r="A11" s="77"/>
      <c r="B11" s="102" t="s">
        <v>44</v>
      </c>
      <c r="C11" s="73" t="s">
        <v>42</v>
      </c>
      <c r="D11" s="73">
        <f>SUM(D12:D21)</f>
        <v>1859.3235000000002</v>
      </c>
      <c r="E11" s="77"/>
      <c r="F11" s="77"/>
      <c r="G11" s="77"/>
      <c r="H11" s="77"/>
      <c r="I11" s="77"/>
      <c r="J11" s="157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5" s="132" customFormat="1" ht="12" x14ac:dyDescent="0.25">
      <c r="B12" s="132" t="s">
        <v>156</v>
      </c>
      <c r="C12" s="132" t="s">
        <v>42</v>
      </c>
      <c r="D12" s="132">
        <f>G12*H12*I12</f>
        <v>320.13599999999997</v>
      </c>
      <c r="G12" s="132">
        <v>1.2</v>
      </c>
      <c r="H12" s="132">
        <v>266.77999999999997</v>
      </c>
      <c r="I12" s="132">
        <v>1</v>
      </c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4"/>
    </row>
    <row r="13" spans="1:25" s="132" customFormat="1" ht="12" x14ac:dyDescent="0.25">
      <c r="B13" s="132" t="s">
        <v>157</v>
      </c>
      <c r="C13" s="132" t="str">
        <f>+C12</f>
        <v>M3</v>
      </c>
      <c r="D13" s="132">
        <f>E13*F13*G13*I13</f>
        <v>3.96</v>
      </c>
      <c r="E13" s="132">
        <v>1.5</v>
      </c>
      <c r="F13" s="132">
        <v>2.2000000000000002</v>
      </c>
      <c r="G13" s="132">
        <v>1.2</v>
      </c>
      <c r="I13" s="132">
        <v>1</v>
      </c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4"/>
    </row>
    <row r="14" spans="1:25" s="132" customFormat="1" ht="24" x14ac:dyDescent="0.25">
      <c r="B14" s="132" t="s">
        <v>158</v>
      </c>
      <c r="C14" s="132" t="str">
        <f>+C13</f>
        <v>M3</v>
      </c>
      <c r="D14" s="132">
        <f>G14*H14*I14</f>
        <v>1027.002</v>
      </c>
      <c r="G14" s="132">
        <v>1.2</v>
      </c>
      <c r="H14" s="132">
        <v>855.83500000000004</v>
      </c>
      <c r="I14" s="132">
        <v>1</v>
      </c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4"/>
    </row>
    <row r="15" spans="1:25" s="132" customFormat="1" ht="12" x14ac:dyDescent="0.25">
      <c r="B15" s="132" t="s">
        <v>159</v>
      </c>
      <c r="C15" s="132" t="str">
        <f t="shared" ref="C15:C20" si="0">+C14</f>
        <v>M3</v>
      </c>
      <c r="D15" s="132">
        <f>G15*H15*I15</f>
        <v>48.497999999999998</v>
      </c>
      <c r="G15" s="132">
        <v>1.2</v>
      </c>
      <c r="H15" s="132">
        <v>40.414999999999999</v>
      </c>
      <c r="I15" s="132">
        <v>1</v>
      </c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4"/>
    </row>
    <row r="16" spans="1:25" s="132" customFormat="1" ht="12" x14ac:dyDescent="0.25">
      <c r="B16" s="132" t="s">
        <v>160</v>
      </c>
      <c r="C16" s="132" t="str">
        <f t="shared" si="0"/>
        <v>M3</v>
      </c>
      <c r="D16" s="132">
        <f>G16*H16*I16</f>
        <v>38.28</v>
      </c>
      <c r="G16" s="132">
        <v>2</v>
      </c>
      <c r="H16" s="132">
        <v>19.14</v>
      </c>
      <c r="I16" s="132">
        <v>1</v>
      </c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4"/>
    </row>
    <row r="17" spans="1:25" s="132" customFormat="1" ht="24" x14ac:dyDescent="0.25">
      <c r="B17" s="132" t="s">
        <v>161</v>
      </c>
      <c r="C17" s="132" t="str">
        <f t="shared" si="0"/>
        <v>M3</v>
      </c>
      <c r="D17" s="132">
        <f>E17*F17*G17*I17</f>
        <v>31.266000000000005</v>
      </c>
      <c r="E17" s="132">
        <v>1.5000000000000002</v>
      </c>
      <c r="F17" s="132">
        <v>7.72</v>
      </c>
      <c r="G17" s="132">
        <v>2.7</v>
      </c>
      <c r="I17" s="132">
        <v>1</v>
      </c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4"/>
    </row>
    <row r="18" spans="1:25" s="132" customFormat="1" ht="24" x14ac:dyDescent="0.25">
      <c r="B18" s="132" t="s">
        <v>162</v>
      </c>
      <c r="C18" s="132" t="str">
        <f t="shared" si="0"/>
        <v>M3</v>
      </c>
      <c r="D18" s="132">
        <f>E18*F18*G18*I18</f>
        <v>104.65200000000002</v>
      </c>
      <c r="E18" s="132">
        <v>1.5000000000000002</v>
      </c>
      <c r="F18" s="132">
        <v>25.84</v>
      </c>
      <c r="G18" s="132">
        <v>2.7</v>
      </c>
      <c r="I18" s="132">
        <v>1</v>
      </c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4"/>
    </row>
    <row r="19" spans="1:25" s="132" customFormat="1" ht="24" x14ac:dyDescent="0.25">
      <c r="B19" s="132" t="s">
        <v>163</v>
      </c>
      <c r="C19" s="132" t="str">
        <f t="shared" si="0"/>
        <v>M3</v>
      </c>
      <c r="D19" s="132">
        <f>E19*F19*G19*I19</f>
        <v>117.24480000000003</v>
      </c>
      <c r="E19" s="132">
        <v>2.4000000000000004</v>
      </c>
      <c r="F19" s="132">
        <v>13.57</v>
      </c>
      <c r="G19" s="132">
        <v>3.6</v>
      </c>
      <c r="I19" s="132">
        <v>1</v>
      </c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4"/>
    </row>
    <row r="20" spans="1:25" s="132" customFormat="1" ht="24" x14ac:dyDescent="0.25">
      <c r="B20" s="132" t="s">
        <v>164</v>
      </c>
      <c r="C20" s="132" t="str">
        <f t="shared" si="0"/>
        <v>M3</v>
      </c>
      <c r="D20" s="132">
        <f>E20*F20*G20*I20/2</f>
        <v>221.1165</v>
      </c>
      <c r="E20" s="132">
        <v>134.01</v>
      </c>
      <c r="F20" s="132">
        <v>1.5</v>
      </c>
      <c r="G20" s="132">
        <v>2.2000000000000002</v>
      </c>
      <c r="I20" s="132">
        <v>1</v>
      </c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4"/>
    </row>
    <row r="21" spans="1:25" s="132" customFormat="1" ht="12" x14ac:dyDescent="0.25">
      <c r="B21" s="132" t="s">
        <v>165</v>
      </c>
      <c r="C21" s="132" t="str">
        <f>+C19</f>
        <v>M3</v>
      </c>
      <c r="D21" s="132">
        <f>E21*F21*G21*I21</f>
        <v>-52.831799999999994</v>
      </c>
      <c r="E21" s="132">
        <v>293.51</v>
      </c>
      <c r="F21" s="132">
        <v>0.15</v>
      </c>
      <c r="G21" s="132">
        <v>1.2</v>
      </c>
      <c r="I21" s="132">
        <v>-1</v>
      </c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4"/>
    </row>
    <row r="22" spans="1:25" ht="30.75" customHeight="1" x14ac:dyDescent="0.25">
      <c r="A22" s="101" t="str">
        <f>'PRESUP-SOT-3P'!A10</f>
        <v>01,03</v>
      </c>
      <c r="B22" s="102" t="str">
        <f>'PRESUP-SOT-3P'!B10</f>
        <v>Exacavación manual tierra seca incluye desalojo en el sitio H&lt;=5m</v>
      </c>
      <c r="C22" s="103" t="s">
        <v>42</v>
      </c>
      <c r="D22" s="73">
        <f>D23+D25</f>
        <v>68.351399999999998</v>
      </c>
      <c r="E22" s="73"/>
      <c r="F22" s="74"/>
      <c r="G22" s="74"/>
      <c r="H22" s="75"/>
      <c r="I22" s="75"/>
      <c r="J22" s="15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5" ht="31.5" customHeight="1" x14ac:dyDescent="0.25">
      <c r="A23" s="77"/>
      <c r="B23" s="102" t="s">
        <v>43</v>
      </c>
      <c r="C23" s="73" t="s">
        <v>42</v>
      </c>
      <c r="D23" s="73">
        <f>D24</f>
        <v>15.519599999999999</v>
      </c>
      <c r="E23" s="77"/>
      <c r="F23" s="77"/>
      <c r="G23" s="77"/>
      <c r="H23" s="128"/>
      <c r="I23" s="77"/>
      <c r="J23" s="157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5" s="132" customFormat="1" ht="12" x14ac:dyDescent="0.25">
      <c r="B24" s="132" t="s">
        <v>168</v>
      </c>
      <c r="C24" s="132" t="s">
        <v>42</v>
      </c>
      <c r="D24" s="132">
        <f>E24*F24*G24*I24</f>
        <v>15.519599999999999</v>
      </c>
      <c r="E24" s="132">
        <v>86.22</v>
      </c>
      <c r="F24" s="132">
        <v>0.15</v>
      </c>
      <c r="G24" s="132">
        <v>1.2</v>
      </c>
      <c r="I24" s="132">
        <v>1</v>
      </c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4"/>
    </row>
    <row r="25" spans="1:25" ht="31.5" customHeight="1" x14ac:dyDescent="0.25">
      <c r="A25" s="77"/>
      <c r="B25" s="102" t="s">
        <v>44</v>
      </c>
      <c r="C25" s="73" t="s">
        <v>42</v>
      </c>
      <c r="D25" s="73">
        <f>D26</f>
        <v>52.831799999999994</v>
      </c>
      <c r="E25" s="77"/>
      <c r="F25" s="77"/>
      <c r="G25" s="77"/>
      <c r="H25" s="128"/>
      <c r="I25" s="77"/>
      <c r="J25" s="157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5" s="132" customFormat="1" ht="12" x14ac:dyDescent="0.25">
      <c r="B26" s="132" t="s">
        <v>168</v>
      </c>
      <c r="C26" s="132" t="s">
        <v>53</v>
      </c>
      <c r="D26" s="132">
        <f>E26*F26*G26</f>
        <v>52.831799999999994</v>
      </c>
      <c r="E26" s="132">
        <v>293.51</v>
      </c>
      <c r="F26" s="132">
        <v>0.15</v>
      </c>
      <c r="G26" s="132">
        <v>1.2</v>
      </c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4"/>
    </row>
    <row r="27" spans="1:25" ht="30.75" customHeight="1" x14ac:dyDescent="0.25">
      <c r="A27" s="101" t="str">
        <f>'PRESUP-SOT-3P'!A11</f>
        <v>01,04</v>
      </c>
      <c r="B27" s="102" t="str">
        <f>'PRESUP-SOT-3P'!B11</f>
        <v>Exacavación manual tierra seca  incluye desalojo en el sitio H&gt;5m</v>
      </c>
      <c r="C27" s="103" t="s">
        <v>42</v>
      </c>
      <c r="D27" s="73">
        <f>D29</f>
        <v>63.287999999999997</v>
      </c>
      <c r="E27" s="73"/>
      <c r="F27" s="74"/>
      <c r="G27" s="74"/>
      <c r="H27" s="75"/>
      <c r="I27" s="75"/>
      <c r="J27" s="156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5" ht="31.5" customHeight="1" x14ac:dyDescent="0.25">
      <c r="A28" s="77"/>
      <c r="B28" s="102" t="s">
        <v>44</v>
      </c>
      <c r="C28" s="73"/>
      <c r="D28" s="73">
        <f>D29</f>
        <v>63.287999999999997</v>
      </c>
      <c r="E28" s="77"/>
      <c r="F28" s="77"/>
      <c r="G28" s="77"/>
      <c r="H28" s="128"/>
      <c r="I28" s="77"/>
      <c r="J28" s="157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5" s="132" customFormat="1" ht="24" customHeight="1" x14ac:dyDescent="0.25">
      <c r="B29" s="132" t="s">
        <v>169</v>
      </c>
      <c r="C29" s="132" t="s">
        <v>53</v>
      </c>
      <c r="D29" s="132">
        <f>F29*H29*I29</f>
        <v>63.287999999999997</v>
      </c>
      <c r="F29" s="132">
        <v>1.2</v>
      </c>
      <c r="H29" s="132">
        <v>52.74</v>
      </c>
      <c r="I29" s="132">
        <v>1</v>
      </c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4"/>
    </row>
    <row r="30" spans="1:25" ht="30.75" customHeight="1" x14ac:dyDescent="0.25">
      <c r="A30" s="101" t="str">
        <f>'PRESUP-SOT-3P'!A12</f>
        <v>01,05</v>
      </c>
      <c r="B30" s="102" t="str">
        <f>'PRESUP-SOT-3P'!B12</f>
        <v>Corte de Roca, incluye desalojo en el sitio</v>
      </c>
      <c r="C30" s="103"/>
      <c r="D30" s="73">
        <f>D31+D33</f>
        <v>635.45561999999995</v>
      </c>
      <c r="E30" s="73"/>
      <c r="F30" s="74"/>
      <c r="G30" s="74"/>
      <c r="H30" s="75"/>
      <c r="I30" s="75"/>
      <c r="J30" s="156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5" ht="31.5" customHeight="1" x14ac:dyDescent="0.25">
      <c r="A31" s="77"/>
      <c r="B31" s="102" t="s">
        <v>43</v>
      </c>
      <c r="C31" s="73" t="s">
        <v>42</v>
      </c>
      <c r="D31" s="73">
        <f>D32*I32</f>
        <v>77.658569999999983</v>
      </c>
      <c r="E31" s="77"/>
      <c r="F31" s="77"/>
      <c r="G31" s="77"/>
      <c r="H31" s="128"/>
      <c r="I31" s="77"/>
      <c r="J31" s="157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5" s="132" customFormat="1" ht="12" x14ac:dyDescent="0.25">
      <c r="B32" s="132" t="s">
        <v>223</v>
      </c>
      <c r="C32" s="132" t="s">
        <v>53</v>
      </c>
      <c r="D32" s="154">
        <f>D7</f>
        <v>258.86189999999993</v>
      </c>
      <c r="I32" s="132">
        <v>0.3</v>
      </c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4"/>
    </row>
    <row r="33" spans="1:25" ht="31.5" customHeight="1" x14ac:dyDescent="0.25">
      <c r="A33" s="77"/>
      <c r="B33" s="102" t="s">
        <v>44</v>
      </c>
      <c r="C33" s="73"/>
      <c r="D33" s="73">
        <f>D34*I34</f>
        <v>557.79705000000001</v>
      </c>
      <c r="E33" s="77"/>
      <c r="F33" s="77"/>
      <c r="G33" s="77"/>
      <c r="H33" s="128"/>
      <c r="I33" s="77"/>
      <c r="J33" s="157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5" s="132" customFormat="1" ht="12" x14ac:dyDescent="0.25">
      <c r="B34" s="132" t="s">
        <v>223</v>
      </c>
      <c r="C34" s="132" t="s">
        <v>53</v>
      </c>
      <c r="D34" s="154">
        <f>D11</f>
        <v>1859.3235000000002</v>
      </c>
      <c r="I34" s="132">
        <v>0.3</v>
      </c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4"/>
    </row>
    <row r="35" spans="1:25" ht="45" x14ac:dyDescent="0.25">
      <c r="A35" s="101" t="str">
        <f>'PRESUP-SOT-3P'!A13</f>
        <v>01,06</v>
      </c>
      <c r="B35" s="102" t="str">
        <f>'PRESUP-SOT-3P'!B13</f>
        <v>Entibado con tablones cada 0.5m apuntalamiento guadua Dmin=3" (Incluye dos caras)</v>
      </c>
      <c r="C35" s="130" t="str">
        <f>'PRESUP-SOT-3P'!C13</f>
        <v>m2</v>
      </c>
      <c r="D35" s="73">
        <f>D36+D38</f>
        <v>2715.3300000000004</v>
      </c>
      <c r="E35" s="73"/>
      <c r="F35" s="74"/>
      <c r="G35" s="74"/>
      <c r="H35" s="75"/>
      <c r="I35" s="75"/>
      <c r="J35" s="156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5" ht="31.5" customHeight="1" x14ac:dyDescent="0.25">
      <c r="A36" s="77"/>
      <c r="B36" s="102" t="s">
        <v>43</v>
      </c>
      <c r="C36" s="73" t="s">
        <v>42</v>
      </c>
      <c r="D36" s="73">
        <f>D37*I37</f>
        <v>351</v>
      </c>
      <c r="E36" s="77"/>
      <c r="F36" s="77"/>
      <c r="G36" s="77"/>
      <c r="H36" s="128"/>
      <c r="I36" s="77"/>
      <c r="J36" s="157"/>
      <c r="K36" s="10">
        <f>D35/2</f>
        <v>1357.6650000000002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5" s="132" customFormat="1" ht="12" x14ac:dyDescent="0.25">
      <c r="B37" s="132" t="s">
        <v>166</v>
      </c>
      <c r="C37" s="132" t="s">
        <v>55</v>
      </c>
      <c r="D37" s="132">
        <v>175.5</v>
      </c>
      <c r="I37" s="132">
        <v>2</v>
      </c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4"/>
    </row>
    <row r="38" spans="1:25" ht="31.5" customHeight="1" x14ac:dyDescent="0.25">
      <c r="A38" s="77"/>
      <c r="B38" s="102" t="s">
        <v>44</v>
      </c>
      <c r="C38" s="73"/>
      <c r="D38" s="73">
        <f>SUM(D39:D42)</f>
        <v>2364.3300000000004</v>
      </c>
      <c r="E38" s="77"/>
      <c r="F38" s="77"/>
      <c r="G38" s="77"/>
      <c r="H38" s="128"/>
      <c r="I38" s="77"/>
      <c r="J38" s="157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5" s="132" customFormat="1" ht="21" customHeight="1" x14ac:dyDescent="0.25">
      <c r="B39" s="132" t="s">
        <v>156</v>
      </c>
      <c r="C39" s="132" t="s">
        <v>55</v>
      </c>
      <c r="D39" s="132">
        <f>H39*I39</f>
        <v>533.54999999999995</v>
      </c>
      <c r="H39" s="132">
        <v>266.77499999999998</v>
      </c>
      <c r="I39" s="132">
        <v>2</v>
      </c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4"/>
    </row>
    <row r="40" spans="1:25" s="132" customFormat="1" ht="27.75" customHeight="1" x14ac:dyDescent="0.25">
      <c r="B40" s="132" t="s">
        <v>158</v>
      </c>
      <c r="C40" s="132" t="str">
        <f>+C39</f>
        <v>m2</v>
      </c>
      <c r="D40" s="132">
        <f>H40*I40</f>
        <v>1711.67</v>
      </c>
      <c r="H40" s="132">
        <v>855.83500000000004</v>
      </c>
      <c r="I40" s="132">
        <v>2</v>
      </c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4"/>
    </row>
    <row r="41" spans="1:25" s="132" customFormat="1" ht="21" customHeight="1" x14ac:dyDescent="0.25">
      <c r="B41" s="132" t="s">
        <v>159</v>
      </c>
      <c r="C41" s="132" t="str">
        <f>+C40</f>
        <v>m2</v>
      </c>
      <c r="D41" s="132">
        <f>H41*I41</f>
        <v>80.83</v>
      </c>
      <c r="H41" s="132">
        <v>40.414999999999999</v>
      </c>
      <c r="I41" s="132">
        <v>2</v>
      </c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4"/>
    </row>
    <row r="42" spans="1:25" s="132" customFormat="1" ht="22.5" customHeight="1" x14ac:dyDescent="0.25">
      <c r="B42" s="132" t="s">
        <v>160</v>
      </c>
      <c r="C42" s="132" t="str">
        <f>+C41</f>
        <v>m2</v>
      </c>
      <c r="D42" s="132">
        <f>H42*I42</f>
        <v>38.28</v>
      </c>
      <c r="H42" s="132">
        <v>19.14</v>
      </c>
      <c r="I42" s="132">
        <v>2</v>
      </c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4"/>
    </row>
    <row r="43" spans="1:25" x14ac:dyDescent="0.25">
      <c r="A43" s="101" t="str">
        <f>'PRESUP-SOT-3P'!A14</f>
        <v>01,07</v>
      </c>
      <c r="B43" s="102" t="str">
        <f>'PRESUP-SOT-3P'!B14</f>
        <v>Desalojo de Material Sobrante</v>
      </c>
      <c r="C43" s="131" t="str">
        <f>'PRESUP-SOT-3P'!C14</f>
        <v>m3</v>
      </c>
      <c r="D43" s="73">
        <f>D44+D49</f>
        <v>721.46599835361792</v>
      </c>
      <c r="E43" s="73"/>
      <c r="F43" s="74"/>
      <c r="G43" s="74"/>
      <c r="H43" s="75"/>
      <c r="I43" s="75"/>
      <c r="J43" s="156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5" ht="31.5" customHeight="1" x14ac:dyDescent="0.25">
      <c r="A44" s="77"/>
      <c r="B44" s="102" t="s">
        <v>43</v>
      </c>
      <c r="C44" s="73" t="s">
        <v>42</v>
      </c>
      <c r="D44" s="73">
        <f>SUM(D45:D48)</f>
        <v>106.26011799999999</v>
      </c>
      <c r="E44" s="77"/>
      <c r="F44" s="77"/>
      <c r="G44" s="77"/>
      <c r="H44" s="128"/>
      <c r="I44" s="77"/>
      <c r="J44" s="157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5" s="132" customFormat="1" ht="12" x14ac:dyDescent="0.25">
      <c r="B45" s="132" t="s">
        <v>225</v>
      </c>
      <c r="C45" s="132" t="s">
        <v>53</v>
      </c>
      <c r="D45" s="154">
        <f>D57+D64+D75</f>
        <v>67.592079999999996</v>
      </c>
      <c r="I45" s="132">
        <v>1</v>
      </c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4"/>
    </row>
    <row r="46" spans="1:25" s="132" customFormat="1" ht="12" x14ac:dyDescent="0.25">
      <c r="B46" s="132" t="s">
        <v>170</v>
      </c>
      <c r="C46" s="132" t="str">
        <f>+C45</f>
        <v>m3</v>
      </c>
      <c r="D46" s="154">
        <f>D98*0.15</f>
        <v>29.668037999999996</v>
      </c>
      <c r="I46" s="132">
        <v>1</v>
      </c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4"/>
    </row>
    <row r="47" spans="1:25" s="132" customFormat="1" ht="12" x14ac:dyDescent="0.25">
      <c r="B47" s="132" t="s">
        <v>171</v>
      </c>
      <c r="C47" s="132" t="str">
        <f>+C46</f>
        <v>m3</v>
      </c>
      <c r="D47" s="132">
        <v>2.76</v>
      </c>
      <c r="I47" s="132">
        <v>1</v>
      </c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4"/>
    </row>
    <row r="48" spans="1:25" s="132" customFormat="1" ht="24" x14ac:dyDescent="0.25">
      <c r="B48" s="132" t="s">
        <v>224</v>
      </c>
      <c r="C48" s="132" t="str">
        <f>+C47</f>
        <v>m3</v>
      </c>
      <c r="D48" s="132">
        <v>6.24</v>
      </c>
      <c r="I48" s="132">
        <v>1</v>
      </c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4"/>
    </row>
    <row r="49" spans="1:25" ht="31.5" customHeight="1" x14ac:dyDescent="0.25">
      <c r="A49" s="77"/>
      <c r="B49" s="102" t="s">
        <v>44</v>
      </c>
      <c r="C49" s="73" t="s">
        <v>42</v>
      </c>
      <c r="D49" s="73">
        <f>SUM(D50:D54)</f>
        <v>615.20588035361789</v>
      </c>
      <c r="E49" s="77"/>
      <c r="F49" s="77"/>
      <c r="G49" s="77"/>
      <c r="H49" s="128"/>
      <c r="I49" s="77"/>
      <c r="J49" s="157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5" s="132" customFormat="1" ht="24" x14ac:dyDescent="0.25">
      <c r="B50" s="132" t="s">
        <v>172</v>
      </c>
      <c r="C50" s="132" t="s">
        <v>53</v>
      </c>
      <c r="D50" s="154">
        <f>D59+D67+D78</f>
        <v>241.785032</v>
      </c>
      <c r="I50" s="132">
        <v>1</v>
      </c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4"/>
    </row>
    <row r="51" spans="1:25" s="132" customFormat="1" ht="12" x14ac:dyDescent="0.25">
      <c r="B51" s="132" t="s">
        <v>170</v>
      </c>
      <c r="C51" s="132" t="str">
        <f>+C50</f>
        <v>m3</v>
      </c>
      <c r="D51" s="154">
        <f>D99*0.15</f>
        <v>240.09084835361796</v>
      </c>
      <c r="I51" s="132">
        <v>1</v>
      </c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4"/>
    </row>
    <row r="52" spans="1:25" s="132" customFormat="1" ht="12" x14ac:dyDescent="0.25">
      <c r="B52" s="132" t="s">
        <v>171</v>
      </c>
      <c r="C52" s="132" t="str">
        <f>+C51</f>
        <v>m3</v>
      </c>
      <c r="D52" s="132">
        <v>14.53</v>
      </c>
      <c r="I52" s="132">
        <v>1</v>
      </c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4"/>
    </row>
    <row r="53" spans="1:25" s="132" customFormat="1" ht="24" x14ac:dyDescent="0.25">
      <c r="B53" s="132" t="s">
        <v>224</v>
      </c>
      <c r="C53" s="132" t="str">
        <f>+C52</f>
        <v>m3</v>
      </c>
      <c r="D53" s="132">
        <v>76.17</v>
      </c>
      <c r="I53" s="132">
        <v>1</v>
      </c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4"/>
    </row>
    <row r="54" spans="1:25" s="132" customFormat="1" ht="24" x14ac:dyDescent="0.25">
      <c r="B54" s="132" t="s">
        <v>180</v>
      </c>
      <c r="C54" s="132" t="s">
        <v>42</v>
      </c>
      <c r="D54" s="132">
        <v>42.63</v>
      </c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4"/>
    </row>
    <row r="55" spans="1:25" x14ac:dyDescent="0.25">
      <c r="A55" s="78">
        <f>+'PRESUP-SOT-3P'!A17</f>
        <v>2</v>
      </c>
      <c r="B55" s="68" t="str">
        <f>+'PRESUP-SOT-3P'!B17</f>
        <v>RELLENOS</v>
      </c>
      <c r="C55" s="68"/>
      <c r="D55" s="68"/>
      <c r="E55" s="68"/>
      <c r="F55" s="68"/>
      <c r="G55" s="68"/>
      <c r="H55" s="79"/>
      <c r="I55" s="79"/>
      <c r="J55" s="158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5" ht="30" x14ac:dyDescent="0.25">
      <c r="A56" s="70" t="str">
        <f>+'PRESUP-SOT-3P'!A18</f>
        <v>02.01</v>
      </c>
      <c r="B56" s="71" t="str">
        <f>+'PRESUP-SOT-3P'!B18</f>
        <v>Capa de protección de la tuberia en arena blanca Epromedio=0,03m</v>
      </c>
      <c r="C56" s="72" t="str">
        <f>+'PRESUP-SOT-3P'!C18</f>
        <v>m3</v>
      </c>
      <c r="D56" s="73">
        <f>D57+D59</f>
        <v>13.666359999999999</v>
      </c>
      <c r="E56" s="73"/>
      <c r="F56" s="74"/>
      <c r="G56" s="74"/>
      <c r="H56" s="75"/>
      <c r="I56" s="75"/>
      <c r="J56" s="159" t="s">
        <v>35</v>
      </c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5" ht="31.5" customHeight="1" x14ac:dyDescent="0.25">
      <c r="A57" s="77"/>
      <c r="B57" s="102" t="s">
        <v>43</v>
      </c>
      <c r="C57" s="73" t="s">
        <v>42</v>
      </c>
      <c r="D57" s="73">
        <f>D58</f>
        <v>3.1</v>
      </c>
      <c r="E57" s="77"/>
      <c r="F57" s="77"/>
      <c r="G57" s="77"/>
      <c r="H57" s="128"/>
      <c r="I57" s="77"/>
      <c r="J57" s="157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5" s="132" customFormat="1" ht="24" x14ac:dyDescent="0.25">
      <c r="B58" s="132" t="s">
        <v>62</v>
      </c>
      <c r="C58" s="132" t="s">
        <v>53</v>
      </c>
      <c r="D58" s="132">
        <f>ROUND((E58*F58*G58*I58),2)</f>
        <v>3.1</v>
      </c>
      <c r="E58" s="132">
        <v>86.22</v>
      </c>
      <c r="F58" s="132">
        <v>0.03</v>
      </c>
      <c r="G58" s="132">
        <v>1.2</v>
      </c>
      <c r="I58" s="132">
        <v>1</v>
      </c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4"/>
    </row>
    <row r="59" spans="1:25" ht="31.5" customHeight="1" x14ac:dyDescent="0.25">
      <c r="A59" s="77"/>
      <c r="B59" s="102" t="s">
        <v>44</v>
      </c>
      <c r="C59" s="73" t="s">
        <v>8</v>
      </c>
      <c r="D59" s="73">
        <f>SUM(D60:D62)</f>
        <v>10.56636</v>
      </c>
      <c r="E59" s="77"/>
      <c r="F59" s="77"/>
      <c r="G59" s="77"/>
      <c r="H59" s="128"/>
      <c r="I59" s="77"/>
      <c r="J59" s="157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5" s="132" customFormat="1" ht="24" x14ac:dyDescent="0.25">
      <c r="B60" s="132" t="s">
        <v>62</v>
      </c>
      <c r="C60" s="132" t="s">
        <v>8</v>
      </c>
      <c r="D60" s="132">
        <f>E60*F60*G60*I60</f>
        <v>2.6135999999999999</v>
      </c>
      <c r="E60" s="132">
        <v>72.599999999999994</v>
      </c>
      <c r="F60" s="132">
        <v>0.03</v>
      </c>
      <c r="G60" s="132">
        <v>1.2</v>
      </c>
      <c r="I60" s="132">
        <v>1</v>
      </c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4"/>
    </row>
    <row r="61" spans="1:25" s="132" customFormat="1" ht="24" x14ac:dyDescent="0.25">
      <c r="B61" s="132" t="s">
        <v>63</v>
      </c>
      <c r="C61" s="132" t="s">
        <v>8</v>
      </c>
      <c r="D61" s="132">
        <f>E61*F61*G61*I61</f>
        <v>7.3249199999999997</v>
      </c>
      <c r="E61" s="132">
        <v>203.47</v>
      </c>
      <c r="F61" s="132">
        <v>0.03</v>
      </c>
      <c r="G61" s="132">
        <v>1.2</v>
      </c>
      <c r="I61" s="132">
        <v>1</v>
      </c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4"/>
    </row>
    <row r="62" spans="1:25" s="132" customFormat="1" ht="24" x14ac:dyDescent="0.25">
      <c r="B62" s="132" t="s">
        <v>64</v>
      </c>
      <c r="C62" s="132" t="s">
        <v>8</v>
      </c>
      <c r="D62" s="132">
        <f>E62*F62*G62*I62</f>
        <v>0.62783999999999984</v>
      </c>
      <c r="E62" s="132">
        <v>17.439999999999998</v>
      </c>
      <c r="F62" s="132">
        <v>0.03</v>
      </c>
      <c r="G62" s="132">
        <v>1.2</v>
      </c>
      <c r="I62" s="132">
        <v>1</v>
      </c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4"/>
    </row>
    <row r="63" spans="1:25" ht="60" x14ac:dyDescent="0.25">
      <c r="A63" s="70" t="str">
        <f>'PRESUP-SOT-3P'!A19</f>
        <v>02.02</v>
      </c>
      <c r="B63" s="71" t="str">
        <f>'PRESUP-SOT-3P'!B19</f>
        <v>Sum. e instalación de material para cama de cimentación 50% triturado - 50% recebo compactado mecanicamente (según detalle)</v>
      </c>
      <c r="C63" s="71" t="str">
        <f>'PRESUP-SOT-3P'!C19</f>
        <v>m3</v>
      </c>
      <c r="D63" s="73">
        <f>D64+D67</f>
        <v>113.61021999999998</v>
      </c>
      <c r="E63" s="73"/>
      <c r="F63" s="74"/>
      <c r="G63" s="74"/>
      <c r="H63" s="75"/>
      <c r="I63" s="75"/>
      <c r="J63" s="159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5" ht="31.5" customHeight="1" x14ac:dyDescent="0.25">
      <c r="A64" s="77"/>
      <c r="B64" s="102" t="s">
        <v>43</v>
      </c>
      <c r="C64" s="73" t="s">
        <v>8</v>
      </c>
      <c r="D64" s="73">
        <f>SUM(D65:D66)</f>
        <v>24.48648</v>
      </c>
      <c r="E64" s="77"/>
      <c r="F64" s="77"/>
      <c r="G64" s="77"/>
      <c r="H64" s="128"/>
      <c r="I64" s="77"/>
      <c r="J64" s="157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24" x14ac:dyDescent="0.25">
      <c r="A65" s="77"/>
      <c r="B65" s="132" t="str">
        <f>+B60</f>
        <v>Tubería Novafort PVC Estr. 200mm 8 pulg sanitaria</v>
      </c>
      <c r="C65" s="133" t="s">
        <v>53</v>
      </c>
      <c r="D65" s="127">
        <f>E65*F65*G65*I65</f>
        <v>25.866</v>
      </c>
      <c r="E65" s="77">
        <v>86.22</v>
      </c>
      <c r="F65" s="77">
        <v>0.25</v>
      </c>
      <c r="G65" s="77">
        <v>1.2</v>
      </c>
      <c r="H65" s="128"/>
      <c r="I65" s="129">
        <v>1</v>
      </c>
      <c r="J65" s="16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x14ac:dyDescent="0.25">
      <c r="A66" s="77"/>
      <c r="B66" s="132" t="s">
        <v>173</v>
      </c>
      <c r="C66" s="133" t="str">
        <f>+C65</f>
        <v>m3</v>
      </c>
      <c r="D66" s="127">
        <f>E66*H66*I66</f>
        <v>-1.3795200000000001</v>
      </c>
      <c r="E66" s="77">
        <v>86.22</v>
      </c>
      <c r="F66" s="77"/>
      <c r="G66" s="77"/>
      <c r="H66" s="128">
        <v>1.6E-2</v>
      </c>
      <c r="I66" s="129">
        <v>-1</v>
      </c>
      <c r="J66" s="16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31.5" customHeight="1" x14ac:dyDescent="0.25">
      <c r="A67" s="77"/>
      <c r="B67" s="102" t="s">
        <v>44</v>
      </c>
      <c r="C67" s="73" t="s">
        <v>8</v>
      </c>
      <c r="D67" s="73">
        <f>SUM(D68:D73)</f>
        <v>89.123739999999984</v>
      </c>
      <c r="E67" s="77"/>
      <c r="F67" s="77"/>
      <c r="G67" s="77"/>
      <c r="H67" s="128"/>
      <c r="I67" s="77"/>
      <c r="J67" s="157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24" x14ac:dyDescent="0.25">
      <c r="A68" s="77"/>
      <c r="B68" s="132" t="s">
        <v>62</v>
      </c>
      <c r="C68" s="133" t="s">
        <v>53</v>
      </c>
      <c r="D68" s="127">
        <f>E68*F68*G68*I68</f>
        <v>21.779999999999998</v>
      </c>
      <c r="E68" s="77">
        <v>72.599999999999994</v>
      </c>
      <c r="F68" s="77">
        <v>0.25</v>
      </c>
      <c r="G68" s="77">
        <v>1.2</v>
      </c>
      <c r="H68" s="128"/>
      <c r="I68" s="129">
        <v>1</v>
      </c>
      <c r="J68" s="16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x14ac:dyDescent="0.25">
      <c r="A69" s="77"/>
      <c r="B69" s="132" t="s">
        <v>173</v>
      </c>
      <c r="C69" s="133" t="s">
        <v>53</v>
      </c>
      <c r="D69" s="127">
        <f>E69*H69*I69</f>
        <v>-1.1616000000000002</v>
      </c>
      <c r="E69" s="77">
        <v>72.600000000000009</v>
      </c>
      <c r="F69" s="77"/>
      <c r="G69" s="77"/>
      <c r="H69" s="128">
        <v>1.6E-2</v>
      </c>
      <c r="I69" s="129">
        <v>-1</v>
      </c>
      <c r="J69" s="16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24" x14ac:dyDescent="0.25">
      <c r="A70" s="77"/>
      <c r="B70" s="132" t="s">
        <v>63</v>
      </c>
      <c r="C70" s="133" t="s">
        <v>53</v>
      </c>
      <c r="D70" s="127">
        <f>F70*E70*G70*I70</f>
        <v>67.145099999999999</v>
      </c>
      <c r="E70" s="77">
        <v>203.47</v>
      </c>
      <c r="F70" s="77">
        <v>0.27500000000000002</v>
      </c>
      <c r="G70" s="77">
        <v>1.2</v>
      </c>
      <c r="H70" s="128"/>
      <c r="I70" s="129">
        <v>1</v>
      </c>
      <c r="J70" s="16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x14ac:dyDescent="0.25">
      <c r="A71" s="77"/>
      <c r="B71" s="132" t="s">
        <v>174</v>
      </c>
      <c r="C71" s="133" t="s">
        <v>53</v>
      </c>
      <c r="D71" s="127">
        <f>E71*H71*I71</f>
        <v>-4.8832800000000001</v>
      </c>
      <c r="E71" s="77">
        <v>203.47</v>
      </c>
      <c r="F71" s="77"/>
      <c r="G71" s="77"/>
      <c r="H71" s="128">
        <v>2.4E-2</v>
      </c>
      <c r="I71" s="129">
        <v>-1</v>
      </c>
      <c r="J71" s="16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31.5" customHeight="1" x14ac:dyDescent="0.25">
      <c r="A72" s="77"/>
      <c r="B72" s="132" t="s">
        <v>64</v>
      </c>
      <c r="C72" s="133" t="s">
        <v>53</v>
      </c>
      <c r="D72" s="127">
        <f>E72*F72*G72*I72</f>
        <v>7.3247999999999989</v>
      </c>
      <c r="E72" s="77">
        <v>17.439999999999998</v>
      </c>
      <c r="F72" s="77">
        <v>0.35</v>
      </c>
      <c r="G72" s="77">
        <v>1.2</v>
      </c>
      <c r="H72" s="128"/>
      <c r="I72" s="129">
        <v>1</v>
      </c>
      <c r="J72" s="16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31.5" customHeight="1" x14ac:dyDescent="0.25">
      <c r="A73" s="77"/>
      <c r="B73" s="132" t="s">
        <v>175</v>
      </c>
      <c r="C73" s="133" t="s">
        <v>53</v>
      </c>
      <c r="D73" s="127">
        <f>E73*H73*I73</f>
        <v>-1.0812799999999998</v>
      </c>
      <c r="E73" s="77">
        <v>17.439999999999998</v>
      </c>
      <c r="F73" s="77"/>
      <c r="G73" s="77"/>
      <c r="H73" s="128">
        <v>6.2E-2</v>
      </c>
      <c r="I73" s="129">
        <v>-1</v>
      </c>
      <c r="J73" s="16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45" x14ac:dyDescent="0.25">
      <c r="A74" s="70" t="str">
        <f>'PRESUP-SOT-3P'!A20</f>
        <v>02.03</v>
      </c>
      <c r="B74" s="71" t="str">
        <f>'PRESUP-SOT-3P'!B20</f>
        <v>Relleno inicial con recebo por encima de la clave compactado manualmente (según detalle)</v>
      </c>
      <c r="C74" s="71" t="str">
        <f>'PRESUP-SOT-3P'!C20</f>
        <v>m3</v>
      </c>
      <c r="D74" s="73">
        <f>D75+D78</f>
        <v>182.10053199999999</v>
      </c>
      <c r="E74" s="73"/>
      <c r="F74" s="74"/>
      <c r="G74" s="74"/>
      <c r="H74" s="75"/>
      <c r="I74" s="75"/>
      <c r="J74" s="159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31.5" customHeight="1" x14ac:dyDescent="0.25">
      <c r="A75" s="77"/>
      <c r="B75" s="102" t="s">
        <v>43</v>
      </c>
      <c r="C75" s="73" t="s">
        <v>42</v>
      </c>
      <c r="D75" s="73">
        <f>D76+D77</f>
        <v>40.005599999999994</v>
      </c>
      <c r="E75" s="77"/>
      <c r="F75" s="77"/>
      <c r="G75" s="77"/>
      <c r="H75" s="128"/>
      <c r="I75" s="77"/>
      <c r="J75" s="157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24" x14ac:dyDescent="0.25">
      <c r="A76" s="77"/>
      <c r="B76" s="132" t="str">
        <f>+B65</f>
        <v>Tubería Novafort PVC Estr. 200mm 8 pulg sanitaria</v>
      </c>
      <c r="C76" s="133" t="s">
        <v>53</v>
      </c>
      <c r="D76" s="127">
        <f>E76*F76*G76*I76</f>
        <v>41.385599999999997</v>
      </c>
      <c r="E76" s="77">
        <v>86.22</v>
      </c>
      <c r="F76" s="77">
        <v>0.4</v>
      </c>
      <c r="G76" s="77">
        <v>1.2</v>
      </c>
      <c r="H76" s="128"/>
      <c r="I76" s="129">
        <v>1</v>
      </c>
      <c r="J76" s="16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x14ac:dyDescent="0.25">
      <c r="A77" s="77"/>
      <c r="B77" s="132" t="str">
        <f>+B66</f>
        <v>Descuento mitad de  tubería 8"</v>
      </c>
      <c r="C77" s="133" t="str">
        <f>+C76</f>
        <v>m3</v>
      </c>
      <c r="D77" s="127">
        <f>ROUND((E77*H77*I77),2)</f>
        <v>-1.38</v>
      </c>
      <c r="E77" s="77">
        <v>86.22</v>
      </c>
      <c r="F77" s="77"/>
      <c r="G77" s="77"/>
      <c r="H77" s="128">
        <v>1.6E-2</v>
      </c>
      <c r="I77" s="129">
        <v>-1</v>
      </c>
      <c r="J77" s="16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31.5" customHeight="1" x14ac:dyDescent="0.25">
      <c r="A78" s="77"/>
      <c r="B78" s="102" t="s">
        <v>44</v>
      </c>
      <c r="C78" s="73" t="s">
        <v>42</v>
      </c>
      <c r="D78" s="73">
        <f>SUM(D79:D84)</f>
        <v>142.094932</v>
      </c>
      <c r="E78" s="77"/>
      <c r="F78" s="77"/>
      <c r="G78" s="77"/>
      <c r="H78" s="128"/>
      <c r="I78" s="77"/>
      <c r="J78" s="157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24" x14ac:dyDescent="0.25">
      <c r="A79" s="77"/>
      <c r="B79" s="132" t="s">
        <v>62</v>
      </c>
      <c r="C79" s="133" t="s">
        <v>53</v>
      </c>
      <c r="D79" s="127">
        <f>E79*F79*G79*I79</f>
        <v>34.987392</v>
      </c>
      <c r="E79" s="77">
        <v>72.600000000000009</v>
      </c>
      <c r="F79" s="77">
        <v>0.40159999999999996</v>
      </c>
      <c r="G79" s="77">
        <v>1.2</v>
      </c>
      <c r="H79" s="128"/>
      <c r="I79" s="129">
        <v>1</v>
      </c>
      <c r="J79" s="16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x14ac:dyDescent="0.25">
      <c r="A80" s="77"/>
      <c r="B80" s="132" t="s">
        <v>173</v>
      </c>
      <c r="C80" s="133" t="s">
        <v>53</v>
      </c>
      <c r="D80" s="127">
        <f>E80*H80*I80</f>
        <v>-1.1616000000000002</v>
      </c>
      <c r="E80" s="77">
        <v>72.600000000000009</v>
      </c>
      <c r="F80" s="77"/>
      <c r="G80" s="77"/>
      <c r="H80" s="128">
        <v>1.6E-2</v>
      </c>
      <c r="I80" s="129">
        <v>-1</v>
      </c>
      <c r="J80" s="16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24" x14ac:dyDescent="0.25">
      <c r="A81" s="77"/>
      <c r="B81" s="132" t="s">
        <v>63</v>
      </c>
      <c r="C81" s="133" t="s">
        <v>53</v>
      </c>
      <c r="D81" s="127">
        <f>E81*F81*G81*I81</f>
        <v>103.7697</v>
      </c>
      <c r="E81" s="77">
        <v>203.47</v>
      </c>
      <c r="F81" s="77">
        <v>0.42499999999999999</v>
      </c>
      <c r="G81" s="77">
        <v>1.2</v>
      </c>
      <c r="H81" s="128"/>
      <c r="I81" s="129">
        <v>1</v>
      </c>
      <c r="J81" s="16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x14ac:dyDescent="0.25">
      <c r="A82" s="77"/>
      <c r="B82" s="132" t="s">
        <v>174</v>
      </c>
      <c r="C82" s="133" t="s">
        <v>53</v>
      </c>
      <c r="D82" s="127">
        <f>E82*H82*I82</f>
        <v>-4.8832800000000001</v>
      </c>
      <c r="E82" s="77">
        <v>203.47</v>
      </c>
      <c r="F82" s="77"/>
      <c r="G82" s="77"/>
      <c r="H82" s="128">
        <v>2.4E-2</v>
      </c>
      <c r="I82" s="129">
        <v>-1</v>
      </c>
      <c r="J82" s="16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24" x14ac:dyDescent="0.25">
      <c r="A83" s="77"/>
      <c r="B83" s="132" t="s">
        <v>64</v>
      </c>
      <c r="C83" s="133" t="s">
        <v>53</v>
      </c>
      <c r="D83" s="127">
        <f>E83*F83*G83*I83</f>
        <v>10.464</v>
      </c>
      <c r="E83" s="77">
        <v>17.440000000000001</v>
      </c>
      <c r="F83" s="77">
        <v>0.5</v>
      </c>
      <c r="G83" s="77">
        <v>1.2</v>
      </c>
      <c r="H83" s="128"/>
      <c r="I83" s="129">
        <v>1</v>
      </c>
      <c r="J83" s="16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x14ac:dyDescent="0.25">
      <c r="A84" s="77"/>
      <c r="B84" s="132" t="s">
        <v>175</v>
      </c>
      <c r="C84" s="133" t="s">
        <v>53</v>
      </c>
      <c r="D84" s="127">
        <f>E84*H84*I84</f>
        <v>-1.0812799999999998</v>
      </c>
      <c r="E84" s="77">
        <v>17.439999999999998</v>
      </c>
      <c r="F84" s="77"/>
      <c r="G84" s="77"/>
      <c r="H84" s="128">
        <v>6.2E-2</v>
      </c>
      <c r="I84" s="129">
        <v>-1</v>
      </c>
      <c r="J84" s="16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39.75" customHeight="1" x14ac:dyDescent="0.25">
      <c r="A85" s="70" t="str">
        <f>'PRESUP-SOT-3P'!A21</f>
        <v>02.04</v>
      </c>
      <c r="B85" s="71" t="str">
        <f>'PRESUP-SOT-3P'!B21</f>
        <v xml:space="preserve">Relleno con material de excavación, compactación mecánica </v>
      </c>
      <c r="C85" s="71" t="str">
        <f>'PRESUP-SOT-3P'!C21</f>
        <v>m3</v>
      </c>
      <c r="D85" s="73">
        <f>0.85*(D86+D91)</f>
        <v>1528.6336893371686</v>
      </c>
      <c r="E85" s="73"/>
      <c r="F85" s="74"/>
      <c r="G85" s="74"/>
      <c r="H85" s="75"/>
      <c r="I85" s="75"/>
      <c r="J85" s="159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31.5" customHeight="1" x14ac:dyDescent="0.25">
      <c r="A86" s="77"/>
      <c r="B86" s="102" t="s">
        <v>43</v>
      </c>
      <c r="C86" s="73" t="s">
        <v>42</v>
      </c>
      <c r="D86" s="73">
        <f>SUM(D87:D90)</f>
        <v>197.78691999999998</v>
      </c>
      <c r="E86" s="77"/>
      <c r="F86" s="77"/>
      <c r="G86" s="77"/>
      <c r="H86" s="128"/>
      <c r="I86" s="77"/>
      <c r="J86" s="157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x14ac:dyDescent="0.25">
      <c r="A87" s="77"/>
      <c r="B87" s="132" t="s">
        <v>176</v>
      </c>
      <c r="C87" s="133" t="s">
        <v>53</v>
      </c>
      <c r="D87" s="127">
        <f>D7+D23</f>
        <v>274.38149999999996</v>
      </c>
      <c r="E87" s="77"/>
      <c r="F87" s="77"/>
      <c r="G87" s="77"/>
      <c r="H87" s="128"/>
      <c r="I87" s="129">
        <v>1</v>
      </c>
      <c r="J87" s="16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x14ac:dyDescent="0.25">
      <c r="A88" s="77"/>
      <c r="B88" s="132" t="s">
        <v>177</v>
      </c>
      <c r="C88" s="133" t="s">
        <v>53</v>
      </c>
      <c r="D88" s="127">
        <f>(D75+D64+D57)*I88</f>
        <v>-67.592079999999982</v>
      </c>
      <c r="E88" s="77"/>
      <c r="F88" s="77"/>
      <c r="G88" s="77"/>
      <c r="H88" s="128"/>
      <c r="I88" s="129">
        <v>-1</v>
      </c>
      <c r="J88" s="16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x14ac:dyDescent="0.25">
      <c r="A89" s="77"/>
      <c r="B89" s="132" t="s">
        <v>178</v>
      </c>
      <c r="C89" s="133" t="s">
        <v>53</v>
      </c>
      <c r="D89" s="127">
        <f>2.76*I89</f>
        <v>-2.76</v>
      </c>
      <c r="E89" s="77"/>
      <c r="F89" s="77"/>
      <c r="G89" s="77"/>
      <c r="H89" s="128"/>
      <c r="I89" s="129">
        <v>-1</v>
      </c>
      <c r="J89" s="16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24" x14ac:dyDescent="0.25">
      <c r="A90" s="77"/>
      <c r="B90" s="132" t="s">
        <v>179</v>
      </c>
      <c r="C90" s="133" t="s">
        <v>53</v>
      </c>
      <c r="D90" s="127">
        <f>F90*H90*I90</f>
        <v>-6.2424999999999997</v>
      </c>
      <c r="E90" s="77"/>
      <c r="F90" s="77">
        <v>2.75</v>
      </c>
      <c r="G90" s="77"/>
      <c r="H90" s="128">
        <v>2.27</v>
      </c>
      <c r="I90" s="129">
        <v>-1</v>
      </c>
      <c r="J90" s="16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31.5" customHeight="1" x14ac:dyDescent="0.25">
      <c r="A91" s="77"/>
      <c r="B91" s="102" t="s">
        <v>44</v>
      </c>
      <c r="C91" s="73" t="s">
        <v>42</v>
      </c>
      <c r="D91" s="73">
        <f>SUM(D92:D96)</f>
        <v>1600.6056556907865</v>
      </c>
      <c r="E91" s="77"/>
      <c r="F91" s="77"/>
      <c r="G91" s="77"/>
      <c r="H91" s="128"/>
      <c r="I91" s="77"/>
      <c r="J91" s="157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x14ac:dyDescent="0.25">
      <c r="A92" s="77"/>
      <c r="B92" s="132" t="s">
        <v>176</v>
      </c>
      <c r="C92" s="133" t="s">
        <v>53</v>
      </c>
      <c r="D92" s="127">
        <f>D11+D25+D28</f>
        <v>1975.4433000000001</v>
      </c>
      <c r="E92" s="77"/>
      <c r="F92" s="77"/>
      <c r="G92" s="77"/>
      <c r="H92" s="128"/>
      <c r="I92" s="129">
        <v>1</v>
      </c>
      <c r="J92" s="16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x14ac:dyDescent="0.25">
      <c r="A93" s="77"/>
      <c r="B93" s="132" t="s">
        <v>177</v>
      </c>
      <c r="C93" s="133" t="s">
        <v>53</v>
      </c>
      <c r="D93" s="127">
        <f>(D59+D67+D78)*I93</f>
        <v>-241.785032</v>
      </c>
      <c r="E93" s="77"/>
      <c r="F93" s="77"/>
      <c r="G93" s="77"/>
      <c r="H93" s="128"/>
      <c r="I93" s="129">
        <v>-1</v>
      </c>
      <c r="J93" s="16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x14ac:dyDescent="0.25">
      <c r="A94" s="77"/>
      <c r="B94" s="132" t="s">
        <v>178</v>
      </c>
      <c r="C94" s="133" t="s">
        <v>53</v>
      </c>
      <c r="D94" s="127">
        <f>14.24*I94</f>
        <v>-14.24</v>
      </c>
      <c r="E94" s="77"/>
      <c r="F94" s="77"/>
      <c r="G94" s="77"/>
      <c r="H94" s="128"/>
      <c r="I94" s="129">
        <v>-1</v>
      </c>
      <c r="J94" s="16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24" x14ac:dyDescent="0.25">
      <c r="A95" s="77"/>
      <c r="B95" s="132" t="s">
        <v>179</v>
      </c>
      <c r="C95" s="133" t="s">
        <v>53</v>
      </c>
      <c r="D95" s="127">
        <f>E95*H95*I95</f>
        <v>-76.181200000000004</v>
      </c>
      <c r="E95" s="77">
        <v>33.56</v>
      </c>
      <c r="F95" s="77"/>
      <c r="G95" s="77"/>
      <c r="H95" s="128">
        <v>2.27</v>
      </c>
      <c r="I95" s="129">
        <v>-1</v>
      </c>
      <c r="J95" s="16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24" x14ac:dyDescent="0.25">
      <c r="A96" s="77"/>
      <c r="B96" s="132" t="s">
        <v>180</v>
      </c>
      <c r="C96" s="133" t="s">
        <v>53</v>
      </c>
      <c r="D96" s="127">
        <f>E96*H96*I96</f>
        <v>-42.631412309213495</v>
      </c>
      <c r="E96" s="77">
        <v>13.57</v>
      </c>
      <c r="F96" s="77"/>
      <c r="G96" s="77"/>
      <c r="H96" s="128">
        <v>3.1415926535897931</v>
      </c>
      <c r="I96" s="129">
        <v>-1</v>
      </c>
      <c r="J96" s="16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39.75" customHeight="1" x14ac:dyDescent="0.25">
      <c r="A97" s="70" t="str">
        <f>'PRESUP-SOT-3P'!A22</f>
        <v>02.05</v>
      </c>
      <c r="B97" s="71" t="str">
        <f>'PRESUP-SOT-3P'!B22</f>
        <v xml:space="preserve">Relleno material de prestamo compactado </v>
      </c>
      <c r="C97" s="71"/>
      <c r="D97" s="73">
        <f>0.15*(D98+D99)</f>
        <v>269.75888635361798</v>
      </c>
      <c r="E97" s="73">
        <f>E98+E99</f>
        <v>269.75888635361798</v>
      </c>
      <c r="F97" s="74"/>
      <c r="G97" s="74"/>
      <c r="H97" s="75"/>
      <c r="I97" s="75"/>
      <c r="J97" s="159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31.5" customHeight="1" x14ac:dyDescent="0.25">
      <c r="A98" s="77"/>
      <c r="B98" s="102" t="s">
        <v>43</v>
      </c>
      <c r="C98" s="73" t="s">
        <v>42</v>
      </c>
      <c r="D98" s="73">
        <f>D86</f>
        <v>197.78691999999998</v>
      </c>
      <c r="E98" s="77">
        <f>D98*0.15</f>
        <v>29.668037999999996</v>
      </c>
      <c r="F98" s="77"/>
      <c r="G98" s="77"/>
      <c r="H98" s="128"/>
      <c r="I98" s="77"/>
      <c r="J98" s="157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31.5" customHeight="1" x14ac:dyDescent="0.25">
      <c r="A99" s="77"/>
      <c r="B99" s="102" t="s">
        <v>44</v>
      </c>
      <c r="C99" s="73" t="s">
        <v>42</v>
      </c>
      <c r="D99" s="73">
        <f>D91</f>
        <v>1600.6056556907865</v>
      </c>
      <c r="E99" s="77">
        <f>D99*0.15</f>
        <v>240.09084835361796</v>
      </c>
      <c r="F99" s="77"/>
      <c r="G99" s="77"/>
      <c r="H99" s="128"/>
      <c r="I99" s="77"/>
      <c r="J99" s="157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x14ac:dyDescent="0.25">
      <c r="A100" s="67">
        <f>'PRESUP-SOT-3P'!A25</f>
        <v>3</v>
      </c>
      <c r="B100" s="68" t="str">
        <f>'PRESUP-SOT-3P'!B25</f>
        <v>INSTALACIONES SANITARIAS</v>
      </c>
      <c r="C100" s="69" t="s">
        <v>0</v>
      </c>
      <c r="D100" s="69" t="s">
        <v>6</v>
      </c>
      <c r="E100" s="69" t="s">
        <v>19</v>
      </c>
      <c r="F100" s="69" t="s">
        <v>20</v>
      </c>
      <c r="G100" s="69" t="s">
        <v>21</v>
      </c>
      <c r="H100" s="69" t="s">
        <v>32</v>
      </c>
      <c r="I100" s="69" t="s">
        <v>22</v>
      </c>
      <c r="J100" s="155" t="s">
        <v>30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39.75" customHeight="1" x14ac:dyDescent="0.25">
      <c r="A101" s="70">
        <f>'PRESUP-SOT-3P'!A26</f>
        <v>3.01</v>
      </c>
      <c r="B101" s="71" t="str">
        <f>'PRESUP-SOT-3P'!B26</f>
        <v>Tubería sanitaria estructurada 200mm (8 pulg sanitaria) (no incluye suministro)</v>
      </c>
      <c r="C101" s="71" t="str">
        <f>'PRESUP-SOT-3P'!C26</f>
        <v>ml</v>
      </c>
      <c r="D101" s="73">
        <f>D102+D104</f>
        <v>158.82</v>
      </c>
      <c r="E101" s="73"/>
      <c r="F101" s="74"/>
      <c r="G101" s="74"/>
      <c r="H101" s="75"/>
      <c r="I101" s="75"/>
      <c r="J101" s="159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31.5" customHeight="1" x14ac:dyDescent="0.25">
      <c r="A102" s="77"/>
      <c r="B102" s="102" t="s">
        <v>43</v>
      </c>
      <c r="C102" s="73" t="s">
        <v>8</v>
      </c>
      <c r="D102" s="73">
        <f>D103</f>
        <v>86.22</v>
      </c>
      <c r="E102" s="77"/>
      <c r="F102" s="77"/>
      <c r="G102" s="77"/>
      <c r="H102" s="128"/>
      <c r="I102" s="77"/>
      <c r="J102" s="157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x14ac:dyDescent="0.25">
      <c r="A103" s="77"/>
      <c r="B103" s="132" t="s">
        <v>181</v>
      </c>
      <c r="C103" s="133" t="s">
        <v>52</v>
      </c>
      <c r="D103" s="127">
        <f>E103*I103</f>
        <v>86.22</v>
      </c>
      <c r="E103" s="77">
        <v>86.22</v>
      </c>
      <c r="F103" s="77"/>
      <c r="G103" s="77"/>
      <c r="H103" s="128"/>
      <c r="I103" s="129">
        <v>1</v>
      </c>
      <c r="J103" s="16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31.5" customHeight="1" x14ac:dyDescent="0.25">
      <c r="A104" s="77"/>
      <c r="B104" s="102" t="s">
        <v>44</v>
      </c>
      <c r="C104" s="73" t="s">
        <v>8</v>
      </c>
      <c r="D104" s="73">
        <f>D105+D106</f>
        <v>72.600000000000009</v>
      </c>
      <c r="E104" s="77"/>
      <c r="F104" s="77"/>
      <c r="G104" s="77"/>
      <c r="H104" s="128"/>
      <c r="I104" s="77"/>
      <c r="J104" s="157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x14ac:dyDescent="0.25">
      <c r="A105" s="77"/>
      <c r="B105" s="132" t="s">
        <v>182</v>
      </c>
      <c r="C105" s="133" t="s">
        <v>52</v>
      </c>
      <c r="D105" s="127">
        <f>E105*I105</f>
        <v>7.26</v>
      </c>
      <c r="E105" s="77">
        <v>7.26</v>
      </c>
      <c r="F105" s="77"/>
      <c r="G105" s="77"/>
      <c r="H105" s="128"/>
      <c r="I105" s="129">
        <v>1</v>
      </c>
      <c r="J105" s="16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x14ac:dyDescent="0.25">
      <c r="A106" s="77"/>
      <c r="B106" s="132" t="s">
        <v>183</v>
      </c>
      <c r="C106" s="133" t="s">
        <v>52</v>
      </c>
      <c r="D106" s="127">
        <f>E106*I106</f>
        <v>65.34</v>
      </c>
      <c r="E106" s="77">
        <v>65.34</v>
      </c>
      <c r="F106" s="77"/>
      <c r="G106" s="77"/>
      <c r="H106" s="128"/>
      <c r="I106" s="129">
        <v>1</v>
      </c>
      <c r="J106" s="16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4" ht="39.75" customHeight="1" x14ac:dyDescent="0.25">
      <c r="A107" s="70">
        <f>'PRESUP-SOT-3P'!A27</f>
        <v>3.02</v>
      </c>
      <c r="B107" s="71" t="str">
        <f>'PRESUP-SOT-3P'!B27</f>
        <v>Tubería sanitaria estructurada 250mm (10 pulg sanitaria) (no incluye suministro)</v>
      </c>
      <c r="C107" s="71"/>
      <c r="D107" s="73">
        <f>D108</f>
        <v>203.47</v>
      </c>
      <c r="E107" s="73"/>
      <c r="F107" s="74"/>
      <c r="G107" s="74"/>
      <c r="H107" s="75"/>
      <c r="I107" s="75"/>
      <c r="J107" s="159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spans="1:24" ht="31.5" customHeight="1" x14ac:dyDescent="0.25">
      <c r="A108" s="77"/>
      <c r="B108" s="102" t="s">
        <v>44</v>
      </c>
      <c r="C108" s="73" t="s">
        <v>8</v>
      </c>
      <c r="D108" s="73">
        <f>D109</f>
        <v>203.47</v>
      </c>
      <c r="E108" s="77"/>
      <c r="F108" s="77"/>
      <c r="G108" s="77"/>
      <c r="H108" s="128"/>
      <c r="I108" s="77"/>
      <c r="J108" s="157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spans="1:24" ht="24" x14ac:dyDescent="0.25">
      <c r="A109" s="77"/>
      <c r="B109" s="132" t="s">
        <v>184</v>
      </c>
      <c r="C109" s="133" t="s">
        <v>52</v>
      </c>
      <c r="D109" s="127">
        <f>E109*I109</f>
        <v>203.47</v>
      </c>
      <c r="E109" s="77">
        <v>203.47</v>
      </c>
      <c r="F109" s="77"/>
      <c r="G109" s="77"/>
      <c r="H109" s="128"/>
      <c r="I109" s="129">
        <v>1</v>
      </c>
      <c r="J109" s="16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 ht="39.75" customHeight="1" x14ac:dyDescent="0.25">
      <c r="A110" s="70">
        <f>'PRESUP-SOT-3P'!A28</f>
        <v>3.03</v>
      </c>
      <c r="B110" s="71" t="str">
        <f>'PRESUP-SOT-3P'!B28</f>
        <v>Tubería sanitaria estructurada 400mm (16 pulg sanitaria) (no incluye suministro)</v>
      </c>
      <c r="C110" s="71" t="str">
        <f>'PRESUP-SOT-3P'!C28</f>
        <v>ml</v>
      </c>
      <c r="D110" s="73">
        <f>D111</f>
        <v>17.439999999999998</v>
      </c>
      <c r="E110" s="73"/>
      <c r="F110" s="74"/>
      <c r="G110" s="74"/>
      <c r="H110" s="75"/>
      <c r="I110" s="75"/>
      <c r="J110" s="159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 ht="31.5" customHeight="1" x14ac:dyDescent="0.25">
      <c r="A111" s="77"/>
      <c r="B111" s="102" t="s">
        <v>44</v>
      </c>
      <c r="C111" s="73" t="s">
        <v>8</v>
      </c>
      <c r="D111" s="73">
        <f>SUM(D112:D114)</f>
        <v>17.439999999999998</v>
      </c>
      <c r="E111" s="77"/>
      <c r="F111" s="77"/>
      <c r="G111" s="77"/>
      <c r="H111" s="128"/>
      <c r="I111" s="77"/>
      <c r="J111" s="157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x14ac:dyDescent="0.25">
      <c r="A112" s="77"/>
      <c r="B112" s="132" t="s">
        <v>185</v>
      </c>
      <c r="C112" s="133" t="s">
        <v>52</v>
      </c>
      <c r="D112" s="127">
        <f>E112*I112</f>
        <v>10.45</v>
      </c>
      <c r="E112" s="77">
        <v>10.45</v>
      </c>
      <c r="F112" s="77"/>
      <c r="G112" s="77"/>
      <c r="H112" s="128"/>
      <c r="I112" s="129">
        <v>1</v>
      </c>
      <c r="J112" s="16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x14ac:dyDescent="0.25">
      <c r="A113" s="77"/>
      <c r="B113" s="132" t="s">
        <v>186</v>
      </c>
      <c r="C113" s="133" t="s">
        <v>52</v>
      </c>
      <c r="D113" s="127">
        <f>E113*I113</f>
        <v>5.49</v>
      </c>
      <c r="E113" s="77">
        <v>5.49</v>
      </c>
      <c r="F113" s="77"/>
      <c r="G113" s="77"/>
      <c r="H113" s="128"/>
      <c r="I113" s="129">
        <v>1</v>
      </c>
      <c r="J113" s="16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x14ac:dyDescent="0.25">
      <c r="A114" s="77"/>
      <c r="B114" s="132" t="s">
        <v>187</v>
      </c>
      <c r="C114" s="133" t="s">
        <v>52</v>
      </c>
      <c r="D114" s="127">
        <f>E114*I114</f>
        <v>1.5</v>
      </c>
      <c r="E114" s="77">
        <v>1.5</v>
      </c>
      <c r="F114" s="77"/>
      <c r="G114" s="77"/>
      <c r="H114" s="128"/>
      <c r="I114" s="129">
        <v>1</v>
      </c>
      <c r="J114" s="16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39.75" customHeight="1" x14ac:dyDescent="0.25">
      <c r="A115" s="70">
        <f>'PRESUP-SOT-3P'!A29</f>
        <v>3.04</v>
      </c>
      <c r="B115" s="71" t="str">
        <f>'PRESUP-SOT-3P'!B29</f>
        <v xml:space="preserve"> "Codo 90° estructurado 8 pulg</v>
      </c>
      <c r="C115" s="71" t="str">
        <f>'PRESUP-SOT-3P'!C29</f>
        <v>Und</v>
      </c>
      <c r="D115" s="73">
        <v>1</v>
      </c>
      <c r="E115" s="73"/>
      <c r="F115" s="74"/>
      <c r="G115" s="74"/>
      <c r="H115" s="75"/>
      <c r="I115" s="75"/>
      <c r="J115" s="159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31.5" customHeight="1" x14ac:dyDescent="0.25">
      <c r="A116" s="77"/>
      <c r="B116" s="102" t="str">
        <f>B111</f>
        <v>TRAMO 2</v>
      </c>
      <c r="C116" s="73" t="s">
        <v>0</v>
      </c>
      <c r="D116" s="73">
        <v>1</v>
      </c>
      <c r="E116" s="77"/>
      <c r="F116" s="77"/>
      <c r="G116" s="77"/>
      <c r="H116" s="128"/>
      <c r="I116" s="77"/>
      <c r="J116" s="157"/>
    </row>
    <row r="117" spans="1:24" x14ac:dyDescent="0.25">
      <c r="A117" s="77"/>
      <c r="B117" s="132" t="s">
        <v>188</v>
      </c>
      <c r="C117" s="133" t="s">
        <v>71</v>
      </c>
      <c r="D117" s="127">
        <f>I117</f>
        <v>1</v>
      </c>
      <c r="E117" s="77"/>
      <c r="F117" s="77"/>
      <c r="G117" s="77"/>
      <c r="H117" s="128"/>
      <c r="I117" s="129">
        <v>1</v>
      </c>
      <c r="J117" s="160"/>
    </row>
    <row r="118" spans="1:24" x14ac:dyDescent="0.25">
      <c r="A118" s="78">
        <f>'PRESUP-SOT-3P'!A32</f>
        <v>4</v>
      </c>
      <c r="B118" s="68" t="str">
        <f>'PRESUP-SOT-3P'!B32</f>
        <v>CAMARAS Y CAJAS DE INSPECCION</v>
      </c>
      <c r="C118" s="69" t="s">
        <v>0</v>
      </c>
      <c r="D118" s="69" t="s">
        <v>6</v>
      </c>
      <c r="E118" s="69" t="s">
        <v>19</v>
      </c>
      <c r="F118" s="69" t="s">
        <v>20</v>
      </c>
      <c r="G118" s="69" t="s">
        <v>21</v>
      </c>
      <c r="H118" s="69" t="s">
        <v>32</v>
      </c>
      <c r="I118" s="69" t="s">
        <v>22</v>
      </c>
      <c r="J118" s="155" t="s">
        <v>30</v>
      </c>
    </row>
    <row r="119" spans="1:24" ht="30" x14ac:dyDescent="0.25">
      <c r="A119" s="76" t="str">
        <f>'PRESUP-SOT-3P'!A33</f>
        <v>04.01</v>
      </c>
      <c r="B119" s="80" t="str">
        <f>'PRESUP-SOT-3P'!B33</f>
        <v>Camara de inspección en concreto 3000 psi 2.50 m&lt;H&lt;=3.5 m D Int = 1.20 m</v>
      </c>
      <c r="C119" s="80" t="str">
        <f>'PRESUP-SOT-3P'!C33</f>
        <v>Und</v>
      </c>
      <c r="D119" s="81">
        <f>D120+D122</f>
        <v>5</v>
      </c>
      <c r="E119" s="76"/>
      <c r="F119" s="76"/>
      <c r="G119" s="76"/>
      <c r="H119" s="76"/>
      <c r="I119" s="76"/>
      <c r="J119" s="156" t="s">
        <v>36</v>
      </c>
    </row>
    <row r="120" spans="1:24" ht="31.5" customHeight="1" x14ac:dyDescent="0.25">
      <c r="A120" s="77"/>
      <c r="B120" s="102" t="s">
        <v>43</v>
      </c>
      <c r="C120" s="73" t="s">
        <v>0</v>
      </c>
      <c r="D120" s="73">
        <f>D121</f>
        <v>1</v>
      </c>
      <c r="E120" s="77"/>
      <c r="F120" s="77"/>
      <c r="G120" s="77"/>
      <c r="H120" s="128"/>
      <c r="I120" s="77"/>
      <c r="J120" s="157"/>
    </row>
    <row r="121" spans="1:24" x14ac:dyDescent="0.25">
      <c r="A121" s="77"/>
      <c r="B121" s="132" t="s">
        <v>189</v>
      </c>
      <c r="C121" s="133" t="s">
        <v>71</v>
      </c>
      <c r="D121" s="127">
        <f>I121</f>
        <v>1</v>
      </c>
      <c r="E121" s="77"/>
      <c r="F121" s="77"/>
      <c r="G121" s="77"/>
      <c r="H121" s="128"/>
      <c r="I121" s="129">
        <v>1</v>
      </c>
      <c r="J121" s="160"/>
    </row>
    <row r="122" spans="1:24" ht="31.5" customHeight="1" x14ac:dyDescent="0.25">
      <c r="A122" s="77"/>
      <c r="B122" s="102" t="s">
        <v>44</v>
      </c>
      <c r="C122" s="73" t="s">
        <v>0</v>
      </c>
      <c r="D122" s="73">
        <f>D123</f>
        <v>4</v>
      </c>
      <c r="E122" s="77"/>
      <c r="F122" s="77"/>
      <c r="G122" s="77"/>
      <c r="H122" s="128"/>
      <c r="I122" s="77"/>
      <c r="J122" s="157"/>
    </row>
    <row r="123" spans="1:24" x14ac:dyDescent="0.25">
      <c r="A123" s="77"/>
      <c r="B123" s="132" t="s">
        <v>190</v>
      </c>
      <c r="C123" s="133" t="s">
        <v>71</v>
      </c>
      <c r="D123" s="127">
        <f>I123</f>
        <v>4</v>
      </c>
      <c r="E123" s="77"/>
      <c r="F123" s="77"/>
      <c r="G123" s="77"/>
      <c r="H123" s="128"/>
      <c r="I123" s="129">
        <v>4</v>
      </c>
      <c r="J123" s="160"/>
    </row>
    <row r="124" spans="1:24" ht="30" x14ac:dyDescent="0.25">
      <c r="A124" s="76" t="str">
        <f>'PRESUP-SOT-3P'!A34</f>
        <v>04.02</v>
      </c>
      <c r="B124" s="80" t="str">
        <f>'PRESUP-SOT-3P'!B34</f>
        <v>Camara de inspección en 3000 psi 3.5 m&lt;H&lt;=5 m D Int = 1.20 m Cónica</v>
      </c>
      <c r="C124" s="80" t="str">
        <f>'PRESUP-SOT-3P'!C34</f>
        <v>Und</v>
      </c>
      <c r="D124" s="81">
        <v>4</v>
      </c>
      <c r="E124" s="76"/>
      <c r="F124" s="76"/>
      <c r="G124" s="76"/>
      <c r="H124" s="76"/>
      <c r="I124" s="76"/>
      <c r="J124" s="156"/>
    </row>
    <row r="125" spans="1:24" ht="31.5" customHeight="1" x14ac:dyDescent="0.25">
      <c r="A125" s="77"/>
      <c r="B125" s="102" t="s">
        <v>44</v>
      </c>
      <c r="C125" s="73" t="s">
        <v>0</v>
      </c>
      <c r="D125" s="73">
        <v>4</v>
      </c>
      <c r="E125" s="77"/>
      <c r="F125" s="77"/>
      <c r="G125" s="77"/>
      <c r="H125" s="128"/>
      <c r="I125" s="77"/>
      <c r="J125" s="157"/>
    </row>
    <row r="126" spans="1:24" x14ac:dyDescent="0.25">
      <c r="A126" s="77"/>
      <c r="B126" s="132" t="s">
        <v>191</v>
      </c>
      <c r="C126" s="133" t="s">
        <v>71</v>
      </c>
      <c r="D126" s="127">
        <v>4</v>
      </c>
      <c r="E126" s="77"/>
      <c r="F126" s="77"/>
      <c r="G126" s="77"/>
      <c r="H126" s="128"/>
      <c r="I126" s="129">
        <v>4</v>
      </c>
      <c r="J126" s="160"/>
    </row>
    <row r="127" spans="1:24" ht="30" x14ac:dyDescent="0.25">
      <c r="A127" s="76" t="str">
        <f>'PRESUP-SOT-3P'!A35</f>
        <v>04.03</v>
      </c>
      <c r="B127" s="80" t="str">
        <f>'PRESUP-SOT-3P'!B35</f>
        <v>cámara de inspección en Concreto Impermeabilizado de 3500 PSI  H&gt;5 m</v>
      </c>
      <c r="C127" s="80" t="str">
        <f>'PRESUP-SOT-3P'!C35</f>
        <v>Und</v>
      </c>
      <c r="D127" s="81">
        <f>D128</f>
        <v>23.247</v>
      </c>
      <c r="E127" s="76"/>
      <c r="F127" s="76"/>
      <c r="G127" s="76"/>
      <c r="H127" s="76"/>
      <c r="I127" s="76"/>
      <c r="J127" s="156"/>
    </row>
    <row r="128" spans="1:24" ht="31.5" customHeight="1" x14ac:dyDescent="0.25">
      <c r="A128" s="77"/>
      <c r="B128" s="102" t="s">
        <v>44</v>
      </c>
      <c r="C128" s="73" t="s">
        <v>42</v>
      </c>
      <c r="D128" s="73">
        <f>SUM(D129:D130)</f>
        <v>23.247</v>
      </c>
      <c r="E128" s="77"/>
      <c r="F128" s="77"/>
      <c r="G128" s="77"/>
      <c r="H128" s="128"/>
      <c r="I128" s="77"/>
      <c r="J128" s="157"/>
    </row>
    <row r="129" spans="1:10" x14ac:dyDescent="0.25">
      <c r="A129" s="77"/>
      <c r="B129" s="132" t="s">
        <v>192</v>
      </c>
      <c r="C129" s="133" t="s">
        <v>53</v>
      </c>
      <c r="D129" s="127">
        <f>F129*H129*I129</f>
        <v>20.824999999999999</v>
      </c>
      <c r="E129" s="77"/>
      <c r="F129" s="77">
        <v>12.25</v>
      </c>
      <c r="G129" s="77"/>
      <c r="H129" s="128">
        <v>1.7</v>
      </c>
      <c r="I129" s="129">
        <v>1</v>
      </c>
      <c r="J129" s="160"/>
    </row>
    <row r="130" spans="1:10" x14ac:dyDescent="0.25">
      <c r="A130" s="77"/>
      <c r="B130" s="132" t="s">
        <v>193</v>
      </c>
      <c r="C130" s="133" t="str">
        <f>+C129</f>
        <v>m3</v>
      </c>
      <c r="D130" s="127">
        <f>F130*H130*I130</f>
        <v>2.4219999999999997</v>
      </c>
      <c r="E130" s="77"/>
      <c r="F130" s="77">
        <v>0.35</v>
      </c>
      <c r="G130" s="77"/>
      <c r="H130" s="128">
        <v>3.46</v>
      </c>
      <c r="I130" s="129">
        <v>2</v>
      </c>
      <c r="J130" s="160"/>
    </row>
    <row r="131" spans="1:10" x14ac:dyDescent="0.25">
      <c r="A131" s="78">
        <f>'PRESUP-SOT-3P'!A38</f>
        <v>5</v>
      </c>
      <c r="B131" s="68" t="str">
        <f>'PRESUP-SOT-3P'!B38</f>
        <v>DEMOLICIONES</v>
      </c>
      <c r="C131" s="69" t="s">
        <v>0</v>
      </c>
      <c r="D131" s="69" t="s">
        <v>6</v>
      </c>
      <c r="E131" s="69" t="s">
        <v>19</v>
      </c>
      <c r="F131" s="69" t="s">
        <v>20</v>
      </c>
      <c r="G131" s="69" t="s">
        <v>21</v>
      </c>
      <c r="H131" s="69" t="s">
        <v>32</v>
      </c>
      <c r="I131" s="69" t="s">
        <v>22</v>
      </c>
      <c r="J131" s="155" t="s">
        <v>30</v>
      </c>
    </row>
    <row r="132" spans="1:10" ht="30" x14ac:dyDescent="0.25">
      <c r="A132" s="76" t="str">
        <f>'PRESUP-SOT-3P'!A39</f>
        <v>05.01</v>
      </c>
      <c r="B132" s="80" t="str">
        <f>'PRESUP-SOT-3P'!B39</f>
        <v>Demolición cámara de inspección incluye desalojo</v>
      </c>
      <c r="C132" s="80" t="str">
        <f>'PRESUP-SOT-3P'!C39</f>
        <v>und</v>
      </c>
      <c r="D132" s="81">
        <f>D133</f>
        <v>1</v>
      </c>
      <c r="E132" s="76"/>
      <c r="F132" s="76"/>
      <c r="G132" s="76"/>
      <c r="H132" s="76"/>
      <c r="I132" s="76"/>
      <c r="J132" s="156"/>
    </row>
    <row r="133" spans="1:10" ht="31.5" customHeight="1" x14ac:dyDescent="0.25">
      <c r="A133" s="77"/>
      <c r="B133" s="102" t="s">
        <v>44</v>
      </c>
      <c r="C133" s="73" t="s">
        <v>42</v>
      </c>
      <c r="D133" s="73">
        <f>D134</f>
        <v>1</v>
      </c>
      <c r="E133" s="77"/>
      <c r="F133" s="77"/>
      <c r="G133" s="77"/>
      <c r="H133" s="128"/>
      <c r="I133" s="77"/>
      <c r="J133" s="157"/>
    </row>
    <row r="134" spans="1:10" x14ac:dyDescent="0.25">
      <c r="A134" s="77"/>
      <c r="B134" s="132" t="s">
        <v>194</v>
      </c>
      <c r="C134" s="133" t="s">
        <v>53</v>
      </c>
      <c r="D134" s="127">
        <f>I134</f>
        <v>1</v>
      </c>
      <c r="E134" s="77"/>
      <c r="F134" s="77"/>
      <c r="G134" s="77"/>
      <c r="H134" s="128"/>
      <c r="I134" s="129">
        <v>1</v>
      </c>
      <c r="J134" s="160"/>
    </row>
    <row r="135" spans="1:10" ht="30" x14ac:dyDescent="0.25">
      <c r="A135" s="76" t="str">
        <f>'PRESUP-SOT-3P'!A40</f>
        <v>05.02</v>
      </c>
      <c r="B135" s="80" t="str">
        <f>'PRESUP-SOT-3P'!B40</f>
        <v>Cancelación de puntos de alcantarillado con concreto</v>
      </c>
      <c r="C135" s="80" t="str">
        <f>'PRESUP-SOT-3P'!C40</f>
        <v>und</v>
      </c>
      <c r="D135" s="81">
        <f>D136</f>
        <v>1</v>
      </c>
      <c r="E135" s="76"/>
      <c r="F135" s="76"/>
      <c r="G135" s="76"/>
      <c r="H135" s="76"/>
      <c r="I135" s="76"/>
      <c r="J135" s="156"/>
    </row>
    <row r="136" spans="1:10" ht="31.5" customHeight="1" x14ac:dyDescent="0.25">
      <c r="A136" s="77"/>
      <c r="B136" s="102" t="s">
        <v>44</v>
      </c>
      <c r="C136" s="73" t="s">
        <v>42</v>
      </c>
      <c r="D136" s="73">
        <f>D137</f>
        <v>1</v>
      </c>
      <c r="E136" s="77"/>
      <c r="F136" s="77"/>
      <c r="G136" s="77"/>
      <c r="H136" s="128"/>
      <c r="I136" s="77"/>
      <c r="J136" s="157"/>
    </row>
    <row r="137" spans="1:10" x14ac:dyDescent="0.25">
      <c r="A137" s="77"/>
      <c r="B137" s="132" t="s">
        <v>194</v>
      </c>
      <c r="C137" s="133" t="s">
        <v>53</v>
      </c>
      <c r="D137" s="127">
        <f>I137</f>
        <v>1</v>
      </c>
      <c r="E137" s="77"/>
      <c r="F137" s="77"/>
      <c r="G137" s="77"/>
      <c r="H137" s="128"/>
      <c r="I137" s="129">
        <v>1</v>
      </c>
      <c r="J137" s="160"/>
    </row>
    <row r="138" spans="1:10" x14ac:dyDescent="0.25">
      <c r="A138" s="78">
        <f>'PRESUP-SOT-3P'!A43</f>
        <v>6</v>
      </c>
      <c r="B138" s="68" t="str">
        <f>'PRESUP-SOT-3P'!B43</f>
        <v>COMPLEMENTARIOS</v>
      </c>
      <c r="C138" s="68"/>
      <c r="D138" s="68"/>
      <c r="E138" s="68"/>
      <c r="F138" s="68"/>
      <c r="G138" s="68"/>
      <c r="H138" s="79"/>
      <c r="I138" s="79"/>
      <c r="J138" s="158"/>
    </row>
    <row r="139" spans="1:10" ht="30" x14ac:dyDescent="0.25">
      <c r="A139" s="76" t="str">
        <f>'PRESUP-SOT-3P'!A44</f>
        <v>06.01</v>
      </c>
      <c r="B139" s="80" t="str">
        <f>'PRESUP-SOT-3P'!B44</f>
        <v xml:space="preserve">Cerramiento en Polisombra blanca,H=2.10M, guadua </v>
      </c>
      <c r="C139" s="80" t="s">
        <v>0</v>
      </c>
      <c r="D139" s="81">
        <f>D140+D141</f>
        <v>835.40599999999995</v>
      </c>
      <c r="E139" s="76"/>
      <c r="F139" s="76"/>
      <c r="G139" s="76"/>
      <c r="H139" s="76"/>
      <c r="I139" s="76"/>
      <c r="J139" s="156"/>
    </row>
    <row r="140" spans="1:10" ht="31.5" customHeight="1" x14ac:dyDescent="0.25">
      <c r="A140" s="77"/>
      <c r="B140" s="102" t="s">
        <v>43</v>
      </c>
      <c r="C140" s="80" t="s">
        <v>0</v>
      </c>
      <c r="D140" s="101">
        <f>E140*I140</f>
        <v>189.68400000000003</v>
      </c>
      <c r="E140" s="77">
        <v>172.44</v>
      </c>
      <c r="F140" s="77"/>
      <c r="G140" s="77"/>
      <c r="H140" s="128"/>
      <c r="I140" s="77">
        <v>1.1000000000000001</v>
      </c>
      <c r="J140" s="157"/>
    </row>
    <row r="141" spans="1:10" ht="31.5" customHeight="1" x14ac:dyDescent="0.25">
      <c r="A141" s="77"/>
      <c r="B141" s="102" t="s">
        <v>44</v>
      </c>
      <c r="C141" s="80" t="s">
        <v>0</v>
      </c>
      <c r="D141" s="101">
        <f>E141*I141</f>
        <v>645.72199999999998</v>
      </c>
      <c r="E141" s="77">
        <v>587.02</v>
      </c>
      <c r="F141" s="77"/>
      <c r="G141" s="77"/>
      <c r="H141" s="128"/>
      <c r="I141" s="77">
        <v>1.1000000000000001</v>
      </c>
      <c r="J141" s="157"/>
    </row>
    <row r="142" spans="1:10" ht="30" x14ac:dyDescent="0.25">
      <c r="A142" s="76" t="str">
        <f>'PRESUP-SOT-3P'!A45</f>
        <v>06.02</v>
      </c>
      <c r="B142" s="80" t="str">
        <f>'PRESUP-SOT-3P'!B45</f>
        <v>Corte y retiro de árboles H&gt;=6m y acopio de madera (incluye raices)</v>
      </c>
      <c r="C142" s="80" t="s">
        <v>0</v>
      </c>
      <c r="D142" s="81">
        <f>D143</f>
        <v>5</v>
      </c>
      <c r="E142" s="76"/>
      <c r="F142" s="76"/>
      <c r="G142" s="76"/>
      <c r="H142" s="76"/>
      <c r="I142" s="76"/>
      <c r="J142" s="156"/>
    </row>
    <row r="143" spans="1:10" ht="31.5" customHeight="1" x14ac:dyDescent="0.25">
      <c r="A143" s="77"/>
      <c r="B143" s="102" t="s">
        <v>44</v>
      </c>
      <c r="C143" s="80" t="s">
        <v>0</v>
      </c>
      <c r="D143" s="101">
        <f>I143</f>
        <v>5</v>
      </c>
      <c r="E143" s="77"/>
      <c r="F143" s="77"/>
      <c r="G143" s="77"/>
      <c r="H143" s="128"/>
      <c r="I143" s="77">
        <v>5</v>
      </c>
      <c r="J143" s="157"/>
    </row>
    <row r="144" spans="1:10" x14ac:dyDescent="0.25">
      <c r="A144" s="76" t="str">
        <f>'PRESUP-SOT-3P'!A46</f>
        <v>06.03</v>
      </c>
      <c r="B144" s="80" t="str">
        <f>'PRESUP-SOT-3P'!B46</f>
        <v>Siembra de planta nativa Hprom=0.80m</v>
      </c>
      <c r="C144" s="80" t="s">
        <v>8</v>
      </c>
      <c r="D144" s="81">
        <f>D145</f>
        <v>100</v>
      </c>
      <c r="E144" s="76"/>
      <c r="F144" s="76"/>
      <c r="G144" s="76"/>
      <c r="H144" s="76"/>
      <c r="I144" s="76"/>
      <c r="J144" s="156"/>
    </row>
    <row r="145" spans="1:10" ht="31.5" customHeight="1" x14ac:dyDescent="0.25">
      <c r="A145" s="77"/>
      <c r="B145" s="102" t="s">
        <v>44</v>
      </c>
      <c r="C145" s="73" t="s">
        <v>8</v>
      </c>
      <c r="D145" s="101">
        <f>I145</f>
        <v>100</v>
      </c>
      <c r="E145" s="77"/>
      <c r="F145" s="77"/>
      <c r="G145" s="77"/>
      <c r="H145" s="128"/>
      <c r="I145" s="77">
        <v>100</v>
      </c>
      <c r="J145" s="157"/>
    </row>
    <row r="146" spans="1:10" x14ac:dyDescent="0.25">
      <c r="A146" s="78">
        <f>'PRESUP-SOT-3P'!A49</f>
        <v>7</v>
      </c>
      <c r="B146" s="68" t="str">
        <f>'PRESUP-SOT-3P'!B49</f>
        <v>DISIPADOR Y ESTRUCTURA DE ALIVIO</v>
      </c>
      <c r="C146" s="69" t="s">
        <v>0</v>
      </c>
      <c r="D146" s="69" t="s">
        <v>6</v>
      </c>
      <c r="E146" s="69" t="s">
        <v>19</v>
      </c>
      <c r="F146" s="69" t="s">
        <v>20</v>
      </c>
      <c r="G146" s="69" t="s">
        <v>21</v>
      </c>
      <c r="H146" s="69" t="s">
        <v>32</v>
      </c>
      <c r="I146" s="69" t="s">
        <v>22</v>
      </c>
      <c r="J146" s="155" t="s">
        <v>30</v>
      </c>
    </row>
    <row r="147" spans="1:10" ht="30" x14ac:dyDescent="0.25">
      <c r="A147" s="76" t="str">
        <f>'PRESUP-SOT-3P'!A50</f>
        <v>07.01</v>
      </c>
      <c r="B147" s="80" t="str">
        <f>'PRESUP-SOT-3P'!B50</f>
        <v>Disipador y estructura de alivio 5.5 X 1.2 X 2.8</v>
      </c>
      <c r="C147" s="80" t="str">
        <f>'PRESUP-SOT-3P'!C50</f>
        <v>und</v>
      </c>
      <c r="D147" s="81">
        <f>D148+D160</f>
        <v>14.08555</v>
      </c>
      <c r="E147" s="76"/>
      <c r="F147" s="76"/>
      <c r="G147" s="76"/>
      <c r="H147" s="76"/>
      <c r="I147" s="76"/>
      <c r="J147" s="156"/>
    </row>
    <row r="148" spans="1:10" ht="31.5" customHeight="1" x14ac:dyDescent="0.25">
      <c r="A148" s="77"/>
      <c r="B148" s="102" t="s">
        <v>196</v>
      </c>
      <c r="C148" s="80" t="s">
        <v>53</v>
      </c>
      <c r="D148" s="101">
        <f>SUM(D149:D159)</f>
        <v>6.6332999999999993</v>
      </c>
      <c r="E148" s="77"/>
      <c r="F148" s="77"/>
      <c r="G148" s="77"/>
      <c r="H148" s="128"/>
      <c r="I148" s="77"/>
      <c r="J148" s="157"/>
    </row>
    <row r="149" spans="1:10" x14ac:dyDescent="0.25">
      <c r="A149" s="77"/>
      <c r="B149" s="132" t="s">
        <v>197</v>
      </c>
      <c r="C149" s="133" t="s">
        <v>53</v>
      </c>
      <c r="D149" s="127">
        <f>F149*H149*I149</f>
        <v>3.3920000000000003</v>
      </c>
      <c r="E149" s="77"/>
      <c r="F149" s="77">
        <v>0.2</v>
      </c>
      <c r="G149" s="77"/>
      <c r="H149" s="128">
        <v>8.48</v>
      </c>
      <c r="I149" s="129">
        <v>2</v>
      </c>
      <c r="J149" s="160"/>
    </row>
    <row r="150" spans="1:10" x14ac:dyDescent="0.25">
      <c r="A150" s="77"/>
      <c r="B150" s="132"/>
      <c r="C150" s="133" t="str">
        <f>+C149</f>
        <v>m3</v>
      </c>
      <c r="D150" s="127">
        <f>E150*F150*G150*I150</f>
        <v>0.36000000000000004</v>
      </c>
      <c r="E150" s="77">
        <v>2</v>
      </c>
      <c r="F150" s="77">
        <f>+F149</f>
        <v>0.2</v>
      </c>
      <c r="G150" s="77">
        <v>0.9</v>
      </c>
      <c r="H150" s="128"/>
      <c r="I150" s="129">
        <v>1</v>
      </c>
      <c r="J150" s="160"/>
    </row>
    <row r="151" spans="1:10" x14ac:dyDescent="0.25">
      <c r="A151" s="77"/>
      <c r="B151" s="132" t="s">
        <v>198</v>
      </c>
      <c r="C151" s="133" t="str">
        <f t="shared" ref="C151:C159" si="1">+C150</f>
        <v>m3</v>
      </c>
      <c r="D151" s="127">
        <f t="shared" ref="D151:D159" si="2">E151*F151*G151*I151</f>
        <v>1.4430000000000003</v>
      </c>
      <c r="E151" s="77">
        <v>5.55</v>
      </c>
      <c r="F151" s="77">
        <v>0.2</v>
      </c>
      <c r="G151" s="77">
        <f>0.9+F150*2</f>
        <v>1.3</v>
      </c>
      <c r="H151" s="128"/>
      <c r="I151" s="129">
        <v>1</v>
      </c>
      <c r="J151" s="160"/>
    </row>
    <row r="152" spans="1:10" x14ac:dyDescent="0.25">
      <c r="A152" s="77"/>
      <c r="B152" s="132"/>
      <c r="C152" s="133" t="str">
        <f t="shared" si="1"/>
        <v>m3</v>
      </c>
      <c r="D152" s="127">
        <f t="shared" si="2"/>
        <v>0.29700000000000004</v>
      </c>
      <c r="E152" s="77">
        <v>1.65</v>
      </c>
      <c r="F152" s="77">
        <f>+F151</f>
        <v>0.2</v>
      </c>
      <c r="G152" s="77">
        <f>+G150</f>
        <v>0.9</v>
      </c>
      <c r="H152" s="128"/>
      <c r="I152" s="129">
        <v>1</v>
      </c>
      <c r="J152" s="160"/>
    </row>
    <row r="153" spans="1:10" x14ac:dyDescent="0.25">
      <c r="A153" s="77"/>
      <c r="B153" s="132" t="s">
        <v>199</v>
      </c>
      <c r="C153" s="133" t="str">
        <f t="shared" si="1"/>
        <v>m3</v>
      </c>
      <c r="D153" s="127">
        <f t="shared" si="2"/>
        <v>3.6000000000000004E-2</v>
      </c>
      <c r="E153" s="77">
        <f>+G150</f>
        <v>0.9</v>
      </c>
      <c r="F153" s="77">
        <v>0.2</v>
      </c>
      <c r="G153" s="77">
        <v>0.2</v>
      </c>
      <c r="H153" s="128"/>
      <c r="I153" s="129">
        <v>1</v>
      </c>
      <c r="J153" s="160"/>
    </row>
    <row r="154" spans="1:10" x14ac:dyDescent="0.25">
      <c r="A154" s="77"/>
      <c r="B154" s="132"/>
      <c r="C154" s="133" t="str">
        <f t="shared" si="1"/>
        <v>m3</v>
      </c>
      <c r="D154" s="127">
        <f t="shared" si="2"/>
        <v>0.32400000000000007</v>
      </c>
      <c r="E154" s="77">
        <f>+E153</f>
        <v>0.9</v>
      </c>
      <c r="F154" s="77">
        <v>0.4</v>
      </c>
      <c r="G154" s="77">
        <v>0.9</v>
      </c>
      <c r="H154" s="128"/>
      <c r="I154" s="129">
        <v>1</v>
      </c>
      <c r="J154" s="160"/>
    </row>
    <row r="155" spans="1:10" x14ac:dyDescent="0.25">
      <c r="A155" s="77"/>
      <c r="B155" s="132" t="s">
        <v>200</v>
      </c>
      <c r="C155" s="133" t="str">
        <f t="shared" si="1"/>
        <v>m3</v>
      </c>
      <c r="D155" s="127">
        <f t="shared" si="2"/>
        <v>6.3E-2</v>
      </c>
      <c r="E155" s="77">
        <v>0.56000000000000005</v>
      </c>
      <c r="F155" s="77">
        <v>0.15</v>
      </c>
      <c r="G155" s="77">
        <v>0.25</v>
      </c>
      <c r="H155" s="128"/>
      <c r="I155" s="129">
        <v>3</v>
      </c>
      <c r="J155" s="160"/>
    </row>
    <row r="156" spans="1:10" x14ac:dyDescent="0.25">
      <c r="A156" s="77"/>
      <c r="B156" s="132" t="s">
        <v>201</v>
      </c>
      <c r="C156" s="133" t="str">
        <f t="shared" si="1"/>
        <v>m3</v>
      </c>
      <c r="D156" s="127">
        <f t="shared" si="2"/>
        <v>6.0299999999999999E-2</v>
      </c>
      <c r="E156" s="77">
        <f>+G150</f>
        <v>0.9</v>
      </c>
      <c r="F156" s="77">
        <v>0.2</v>
      </c>
      <c r="G156" s="77">
        <f>+(0.2+0.47)/2</f>
        <v>0.33499999999999996</v>
      </c>
      <c r="H156" s="128"/>
      <c r="I156" s="129">
        <v>1</v>
      </c>
      <c r="J156" s="160"/>
    </row>
    <row r="157" spans="1:10" x14ac:dyDescent="0.25">
      <c r="A157" s="77"/>
      <c r="B157" s="132" t="s">
        <v>202</v>
      </c>
      <c r="C157" s="133" t="str">
        <f t="shared" si="1"/>
        <v>m3</v>
      </c>
      <c r="D157" s="127">
        <f t="shared" si="2"/>
        <v>0.27299999999999996</v>
      </c>
      <c r="E157" s="77">
        <f>+E156+F149*2</f>
        <v>1.3</v>
      </c>
      <c r="F157" s="77">
        <v>0.6</v>
      </c>
      <c r="G157" s="77">
        <f>+(0.4+0.3)/2</f>
        <v>0.35</v>
      </c>
      <c r="H157" s="128"/>
      <c r="I157" s="129">
        <v>1</v>
      </c>
      <c r="J157" s="160"/>
    </row>
    <row r="158" spans="1:10" x14ac:dyDescent="0.25">
      <c r="A158" s="77"/>
      <c r="B158" s="132"/>
      <c r="C158" s="133" t="str">
        <f t="shared" si="1"/>
        <v>m3</v>
      </c>
      <c r="D158" s="127">
        <f t="shared" si="2"/>
        <v>0.31200000000000006</v>
      </c>
      <c r="E158" s="77">
        <f>+E157</f>
        <v>1.3</v>
      </c>
      <c r="F158" s="77">
        <v>0.6</v>
      </c>
      <c r="G158" s="77">
        <f>+(0.5+0.3)/2</f>
        <v>0.4</v>
      </c>
      <c r="H158" s="128"/>
      <c r="I158" s="129">
        <v>1</v>
      </c>
      <c r="J158" s="160"/>
    </row>
    <row r="159" spans="1:10" x14ac:dyDescent="0.25">
      <c r="A159" s="77"/>
      <c r="B159" s="132" t="s">
        <v>203</v>
      </c>
      <c r="C159" s="133" t="str">
        <f t="shared" si="1"/>
        <v>m3</v>
      </c>
      <c r="D159" s="127">
        <f t="shared" si="2"/>
        <v>7.2999999999999995E-2</v>
      </c>
      <c r="E159" s="77">
        <v>3.65</v>
      </c>
      <c r="F159" s="77">
        <v>0.1</v>
      </c>
      <c r="G159" s="77">
        <v>0.1</v>
      </c>
      <c r="H159" s="128"/>
      <c r="I159" s="129">
        <v>2</v>
      </c>
      <c r="J159" s="160"/>
    </row>
    <row r="160" spans="1:10" ht="31.5" customHeight="1" x14ac:dyDescent="0.25">
      <c r="A160" s="77"/>
      <c r="B160" s="102" t="s">
        <v>206</v>
      </c>
      <c r="C160" s="80" t="s">
        <v>53</v>
      </c>
      <c r="D160" s="101">
        <f>SUM(D161:D166)</f>
        <v>7.4522500000000003</v>
      </c>
      <c r="E160" s="77"/>
      <c r="F160" s="77"/>
      <c r="G160" s="77"/>
      <c r="H160" s="128"/>
      <c r="I160" s="77"/>
      <c r="J160" s="157"/>
    </row>
    <row r="161" spans="1:10" x14ac:dyDescent="0.25">
      <c r="A161" s="77"/>
      <c r="B161" s="132" t="s">
        <v>197</v>
      </c>
      <c r="C161" s="133" t="s">
        <v>53</v>
      </c>
      <c r="D161" s="127">
        <f t="shared" ref="D161:D166" si="3">E161*F161*G161*I161</f>
        <v>3.6542499999999998</v>
      </c>
      <c r="E161" s="77">
        <v>3.11</v>
      </c>
      <c r="F161" s="77">
        <v>0.25</v>
      </c>
      <c r="G161" s="77">
        <v>2.35</v>
      </c>
      <c r="H161" s="128"/>
      <c r="I161" s="129">
        <v>2</v>
      </c>
      <c r="J161" s="160"/>
    </row>
    <row r="162" spans="1:10" x14ac:dyDescent="0.25">
      <c r="A162" s="77"/>
      <c r="B162" s="132"/>
      <c r="C162" s="133" t="s">
        <v>53</v>
      </c>
      <c r="D162" s="127">
        <f t="shared" si="3"/>
        <v>2.0215000000000001</v>
      </c>
      <c r="E162" s="77">
        <v>3.11</v>
      </c>
      <c r="F162" s="77">
        <v>0.25</v>
      </c>
      <c r="G162" s="77">
        <v>1.3</v>
      </c>
      <c r="H162" s="128"/>
      <c r="I162" s="129">
        <v>2</v>
      </c>
      <c r="J162" s="160"/>
    </row>
    <row r="163" spans="1:10" x14ac:dyDescent="0.25">
      <c r="A163" s="77"/>
      <c r="B163" s="132" t="s">
        <v>198</v>
      </c>
      <c r="C163" s="133" t="s">
        <v>53</v>
      </c>
      <c r="D163" s="127">
        <f t="shared" si="3"/>
        <v>1.0575000000000001</v>
      </c>
      <c r="E163" s="77">
        <v>2.35</v>
      </c>
      <c r="F163" s="77">
        <v>0.25</v>
      </c>
      <c r="G163" s="77">
        <v>1.8</v>
      </c>
      <c r="H163" s="128"/>
      <c r="I163" s="129">
        <v>1</v>
      </c>
      <c r="J163" s="160"/>
    </row>
    <row r="164" spans="1:10" x14ac:dyDescent="0.25">
      <c r="A164" s="77"/>
      <c r="B164" s="132" t="s">
        <v>204</v>
      </c>
      <c r="C164" s="133" t="s">
        <v>53</v>
      </c>
      <c r="D164" s="127">
        <f t="shared" si="3"/>
        <v>0.63449999999999995</v>
      </c>
      <c r="E164" s="77">
        <v>2.35</v>
      </c>
      <c r="F164" s="77">
        <v>0.15</v>
      </c>
      <c r="G164" s="77">
        <v>1.8</v>
      </c>
      <c r="H164" s="128"/>
      <c r="I164" s="129">
        <v>1</v>
      </c>
      <c r="J164" s="160"/>
    </row>
    <row r="165" spans="1:10" x14ac:dyDescent="0.25">
      <c r="A165" s="77"/>
      <c r="B165" s="132" t="s">
        <v>205</v>
      </c>
      <c r="C165" s="133" t="s">
        <v>53</v>
      </c>
      <c r="D165" s="127">
        <f t="shared" si="3"/>
        <v>6.6299999999999998E-2</v>
      </c>
      <c r="E165" s="77">
        <v>1.3</v>
      </c>
      <c r="F165" s="77">
        <v>0.1</v>
      </c>
      <c r="G165" s="77">
        <v>0.51</v>
      </c>
      <c r="H165" s="128"/>
      <c r="I165" s="129">
        <v>1</v>
      </c>
      <c r="J165" s="160"/>
    </row>
    <row r="166" spans="1:10" x14ac:dyDescent="0.25">
      <c r="A166" s="77"/>
      <c r="B166" s="132"/>
      <c r="C166" s="133" t="s">
        <v>53</v>
      </c>
      <c r="D166" s="127">
        <f t="shared" si="3"/>
        <v>1.8200000000000001E-2</v>
      </c>
      <c r="E166" s="77">
        <v>1.3</v>
      </c>
      <c r="F166" s="77">
        <v>0.1</v>
      </c>
      <c r="G166" s="77">
        <v>7.0000000000000007E-2</v>
      </c>
      <c r="H166" s="128"/>
      <c r="I166" s="129">
        <v>2</v>
      </c>
      <c r="J166" s="160"/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horizontalDpi="360" verticalDpi="360" r:id="rId1"/>
  <rowBreaks count="3" manualBreakCount="3">
    <brk id="54" max="9" man="1"/>
    <brk id="99" max="9" man="1"/>
    <brk id="1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PRESUP-SOT-3P</vt:lpstr>
      <vt:lpstr>APUS</vt:lpstr>
      <vt:lpstr>CANTIDADES</vt:lpstr>
      <vt:lpstr>APUS!Área_de_impresión</vt:lpstr>
      <vt:lpstr>CANTIDADES!Área_de_impresión</vt:lpstr>
      <vt:lpstr>'PRESUP-SOT-3P'!Área_de_impresión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2017-12-12T21:03:19Z</dcterms:modified>
</cp:coreProperties>
</file>