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FONDO DE CONSTRUCCIONES\2016\BLOQUE1\NORTE\TERMINOS OBRAS\2019-II FACEA\evaluacion\"/>
    </mc:Choice>
  </mc:AlternateContent>
  <bookViews>
    <workbookView xWindow="0" yWindow="0" windowWidth="23040" windowHeight="8904" tabRatio="634" firstSheet="1" activeTab="1"/>
  </bookViews>
  <sheets>
    <sheet name="Experiencia" sheetId="1" state="hidden" r:id="rId1"/>
    <sheet name="TECNICA" sheetId="6" r:id="rId2"/>
    <sheet name="EXPER CONSTRUCTOR" sheetId="14" r:id="rId3"/>
    <sheet name="Hoja1" sheetId="16" state="hidden" r:id="rId4"/>
    <sheet name="PUNTAJE PRECIO" sheetId="9" state="hidden" r:id="rId5"/>
    <sheet name="PRECIO CORREGIDO" sheetId="12" state="hidden" r:id="rId6"/>
    <sheet name="TABLA SMMLV" sheetId="15" state="hidden" r:id="rId7"/>
    <sheet name="ARIT,ETICA" sheetId="11" state="hidden" r:id="rId8"/>
  </sheets>
  <externalReferences>
    <externalReference r:id="rId9"/>
  </externalReferences>
  <definedNames>
    <definedName name="_xlnm._FilterDatabase" localSheetId="4" hidden="1">'PUNTAJE PRECIO'!$M$15:$O$19</definedName>
    <definedName name="_xlnm.Print_Area" localSheetId="2">'EXPER CONSTRUCTOR'!$A$1:$O$829</definedName>
    <definedName name="_xlnm.Print_Area" localSheetId="0">Experiencia!$B$1:$P$35</definedName>
    <definedName name="_xlnm.Print_Area" localSheetId="4">'PUNTAJE PRECIO'!$A$1:$H$80</definedName>
    <definedName name="_xlnm.Print_Area" localSheetId="1">TECNICA!$A$1:$N$45</definedName>
    <definedName name="BLOQUE" localSheetId="2">#REF!</definedName>
    <definedName name="BLOQUE" localSheetId="0">#REF!</definedName>
    <definedName name="BLOQUE" localSheetId="1">#REF!</definedName>
    <definedName name="BLOQUE">#REF!</definedName>
    <definedName name="ORDEN" localSheetId="2">#REF!</definedName>
    <definedName name="ORDEN" localSheetId="0">#REF!</definedName>
    <definedName name="ORDEN" localSheetId="1">#REF!</definedName>
    <definedName name="ORDEN">#REF!</definedName>
    <definedName name="_xlnm.Print_Titles" localSheetId="2">'EXPER CONSTRUCTOR'!$1:$2</definedName>
    <definedName name="_xlnm.Print_Titles" localSheetId="0">Experiencia!$4:$11</definedName>
  </definedNames>
  <calcPr calcId="162913"/>
</workbook>
</file>

<file path=xl/calcChain.xml><?xml version="1.0" encoding="utf-8"?>
<calcChain xmlns="http://schemas.openxmlformats.org/spreadsheetml/2006/main">
  <c r="L437" i="14" l="1"/>
  <c r="A688" i="14" l="1"/>
  <c r="A552" i="14"/>
  <c r="N297" i="14" l="1"/>
  <c r="J297" i="14"/>
  <c r="O297" i="14" s="1"/>
  <c r="M163" i="14"/>
  <c r="M159" i="14"/>
  <c r="Y166" i="14"/>
  <c r="Y165" i="14"/>
  <c r="L165" i="14"/>
  <c r="L167" i="14"/>
  <c r="L166" i="14"/>
  <c r="L163" i="14"/>
  <c r="K783" i="14"/>
  <c r="X780" i="14"/>
  <c r="X779" i="14"/>
  <c r="X778" i="14"/>
  <c r="X777" i="14"/>
  <c r="X776" i="14"/>
  <c r="X775" i="14"/>
  <c r="X774" i="14"/>
  <c r="X773" i="14"/>
  <c r="X772" i="14"/>
  <c r="X771" i="14"/>
  <c r="X770" i="14"/>
  <c r="X769" i="14"/>
  <c r="X768" i="14"/>
  <c r="X767" i="14"/>
  <c r="K767" i="14"/>
  <c r="X766" i="14"/>
  <c r="X765" i="14"/>
  <c r="X764" i="14"/>
  <c r="X763" i="14"/>
  <c r="X762" i="14"/>
  <c r="X761" i="14"/>
  <c r="X760" i="14"/>
  <c r="X759" i="14"/>
  <c r="X758" i="14"/>
  <c r="X757" i="14"/>
  <c r="X756" i="14"/>
  <c r="X755" i="14"/>
  <c r="X754" i="14"/>
  <c r="K754" i="14"/>
  <c r="X753" i="14"/>
  <c r="X752" i="14"/>
  <c r="X751" i="14"/>
  <c r="AV717" i="14"/>
  <c r="X717" i="14"/>
  <c r="AD700" i="14"/>
  <c r="Z700" i="14"/>
  <c r="W700" i="14"/>
  <c r="AD699" i="14"/>
  <c r="Z699" i="14"/>
  <c r="W699" i="14"/>
  <c r="AD698" i="14"/>
  <c r="Z698" i="14"/>
  <c r="W698" i="14"/>
  <c r="O693" i="14"/>
  <c r="N693" i="14"/>
  <c r="N692" i="14"/>
  <c r="O692" i="14"/>
  <c r="N691" i="14"/>
  <c r="O691" i="14"/>
  <c r="N690" i="14"/>
  <c r="O690" i="14"/>
  <c r="X611" i="14"/>
  <c r="X612" i="14"/>
  <c r="X613" i="14"/>
  <c r="X614" i="14"/>
  <c r="X615" i="14"/>
  <c r="X616" i="14"/>
  <c r="X617" i="14"/>
  <c r="X618" i="14"/>
  <c r="X619" i="14"/>
  <c r="X620" i="14"/>
  <c r="X621" i="14"/>
  <c r="X622" i="14"/>
  <c r="X623" i="14"/>
  <c r="X624" i="14"/>
  <c r="X625" i="14"/>
  <c r="X626" i="14"/>
  <c r="X627" i="14"/>
  <c r="X628" i="14"/>
  <c r="X629" i="14"/>
  <c r="X630" i="14"/>
  <c r="X631" i="14"/>
  <c r="X632" i="14"/>
  <c r="X633" i="14"/>
  <c r="X634" i="14"/>
  <c r="X635" i="14"/>
  <c r="X636" i="14"/>
  <c r="X637" i="14"/>
  <c r="X638" i="14"/>
  <c r="X639" i="14"/>
  <c r="X640" i="14"/>
  <c r="H571" i="14"/>
  <c r="F669" i="14"/>
  <c r="F668" i="14"/>
  <c r="K643" i="14"/>
  <c r="K627" i="14"/>
  <c r="K614" i="14"/>
  <c r="Q580" i="14"/>
  <c r="AV572" i="14"/>
  <c r="X572" i="14"/>
  <c r="AV571" i="14"/>
  <c r="X571" i="14"/>
  <c r="AD564" i="14"/>
  <c r="Z564" i="14"/>
  <c r="W564" i="14"/>
  <c r="AD563" i="14"/>
  <c r="Z563" i="14"/>
  <c r="W563" i="14"/>
  <c r="AD562" i="14"/>
  <c r="Z562" i="14"/>
  <c r="W562" i="14"/>
  <c r="O557" i="14"/>
  <c r="N557" i="14"/>
  <c r="N556" i="14"/>
  <c r="O556" i="14"/>
  <c r="N555" i="14"/>
  <c r="O555" i="14"/>
  <c r="N554" i="14"/>
  <c r="O554" i="14"/>
  <c r="O562" i="14" s="1"/>
  <c r="X436" i="14"/>
  <c r="X437" i="14"/>
  <c r="X438" i="14"/>
  <c r="X439" i="14"/>
  <c r="X440" i="14"/>
  <c r="X435" i="14"/>
  <c r="A415" i="14"/>
  <c r="K507" i="14"/>
  <c r="K491" i="14"/>
  <c r="K478" i="14"/>
  <c r="Q444" i="14"/>
  <c r="K441" i="14"/>
  <c r="K440" i="14"/>
  <c r="L439" i="14"/>
  <c r="AV436" i="14"/>
  <c r="L436" i="14"/>
  <c r="AV435" i="14"/>
  <c r="L435" i="14"/>
  <c r="L434" i="14"/>
  <c r="AD427" i="14"/>
  <c r="Z427" i="14"/>
  <c r="W427" i="14"/>
  <c r="AD426" i="14"/>
  <c r="Z426" i="14"/>
  <c r="W426" i="14"/>
  <c r="AD425" i="14"/>
  <c r="Z425" i="14"/>
  <c r="W425" i="14"/>
  <c r="O425" i="14"/>
  <c r="O698" i="14" l="1"/>
  <c r="Y167" i="14"/>
  <c r="X573" i="14"/>
  <c r="X641" i="14" s="1"/>
  <c r="AD701" i="14"/>
  <c r="AV439" i="14"/>
  <c r="AV440" i="14" s="1"/>
  <c r="X441" i="14"/>
  <c r="Z565" i="14"/>
  <c r="AD565" i="14"/>
  <c r="AV575" i="14"/>
  <c r="AV576" i="14" s="1"/>
  <c r="W701" i="14"/>
  <c r="Z701" i="14"/>
  <c r="AD428" i="14"/>
  <c r="N697" i="14"/>
  <c r="X781" i="14"/>
  <c r="N424" i="14"/>
  <c r="W428" i="14"/>
  <c r="N561" i="14"/>
  <c r="W565" i="14"/>
  <c r="Z428" i="14"/>
  <c r="L862" i="14"/>
  <c r="L861" i="14"/>
  <c r="BB842" i="14"/>
  <c r="BB841" i="14"/>
  <c r="BB840" i="14"/>
  <c r="BB839" i="14"/>
  <c r="L860" i="14"/>
  <c r="B4" i="16"/>
  <c r="L859" i="14"/>
  <c r="L858" i="14"/>
  <c r="L857" i="14"/>
  <c r="L856" i="14"/>
  <c r="L851" i="14"/>
  <c r="L852" i="14"/>
  <c r="L853" i="14"/>
  <c r="L854" i="14"/>
  <c r="L855" i="14"/>
  <c r="AX842" i="14"/>
  <c r="AX841" i="14"/>
  <c r="AX840" i="14"/>
  <c r="AX839" i="14"/>
  <c r="AT842" i="14"/>
  <c r="AT841" i="14"/>
  <c r="AT840" i="14"/>
  <c r="AT839" i="14"/>
  <c r="AP839" i="14"/>
  <c r="AP842" i="14"/>
  <c r="AP841" i="14"/>
  <c r="AP840" i="14"/>
  <c r="AL841" i="14"/>
  <c r="AL842" i="14"/>
  <c r="AL839" i="14"/>
  <c r="AL840" i="14"/>
  <c r="AH840" i="14"/>
  <c r="AH839" i="14"/>
  <c r="L850" i="14"/>
  <c r="AD839" i="14"/>
  <c r="Z841" i="14"/>
  <c r="Z839" i="14"/>
  <c r="Z840" i="14"/>
  <c r="W840" i="14"/>
  <c r="W839" i="14"/>
  <c r="A278" i="14"/>
  <c r="A277" i="14"/>
  <c r="AL843" i="14" l="1"/>
  <c r="AP843" i="14"/>
  <c r="AT843" i="14"/>
  <c r="AH842" i="14"/>
  <c r="BB843" i="14"/>
  <c r="AX843" i="14"/>
  <c r="Z842" i="14"/>
  <c r="K370" i="14"/>
  <c r="K354" i="14"/>
  <c r="K341" i="14"/>
  <c r="Q307" i="14"/>
  <c r="AV299" i="14"/>
  <c r="AV302" i="14" s="1"/>
  <c r="AV303" i="14" s="1"/>
  <c r="AV298" i="14"/>
  <c r="AD290" i="14"/>
  <c r="Z290" i="14"/>
  <c r="W290" i="14"/>
  <c r="AD289" i="14"/>
  <c r="Z289" i="14"/>
  <c r="W289" i="14"/>
  <c r="AD288" i="14"/>
  <c r="Z288" i="14"/>
  <c r="W288" i="14"/>
  <c r="O288" i="14"/>
  <c r="A828" i="14"/>
  <c r="A829" i="14"/>
  <c r="J831" i="14"/>
  <c r="O831" i="14" s="1"/>
  <c r="N831" i="14"/>
  <c r="J832" i="14"/>
  <c r="O832" i="14" s="1"/>
  <c r="N832" i="14"/>
  <c r="J833" i="14"/>
  <c r="O833" i="14" s="1"/>
  <c r="N833" i="14"/>
  <c r="N834" i="14"/>
  <c r="O834" i="14"/>
  <c r="AD842" i="14"/>
  <c r="W842" i="14"/>
  <c r="L848" i="14"/>
  <c r="L849" i="14"/>
  <c r="AV849" i="14"/>
  <c r="Q866" i="14"/>
  <c r="AV850" i="14"/>
  <c r="K900" i="14"/>
  <c r="K913" i="14"/>
  <c r="K929" i="14"/>
  <c r="Z291" i="14" l="1"/>
  <c r="AD291" i="14"/>
  <c r="AV853" i="14"/>
  <c r="AV854" i="14" s="1"/>
  <c r="W291" i="14"/>
  <c r="N287" i="14"/>
  <c r="N838" i="14"/>
  <c r="O839" i="14"/>
  <c r="M162" i="14"/>
  <c r="AD150" i="14"/>
  <c r="AD149" i="14"/>
  <c r="AD148" i="14"/>
  <c r="L162" i="14"/>
  <c r="Z150" i="14"/>
  <c r="Z149" i="14"/>
  <c r="Z148" i="14"/>
  <c r="L161" i="14"/>
  <c r="L160" i="14"/>
  <c r="Q159" i="14"/>
  <c r="Q170" i="14" s="1"/>
  <c r="W150" i="14"/>
  <c r="W149" i="14"/>
  <c r="W148" i="14"/>
  <c r="L159" i="14"/>
  <c r="M158" i="14"/>
  <c r="L158" i="14"/>
  <c r="L157" i="14"/>
  <c r="N141" i="14"/>
  <c r="J141" i="14"/>
  <c r="O141" i="14" s="1"/>
  <c r="C16" i="1"/>
  <c r="N143" i="14"/>
  <c r="O143" i="14"/>
  <c r="N142" i="14"/>
  <c r="J142" i="14"/>
  <c r="O142" i="14" s="1"/>
  <c r="N140" i="14"/>
  <c r="J140" i="14"/>
  <c r="O140" i="14" s="1"/>
  <c r="L26" i="14"/>
  <c r="Z16" i="14"/>
  <c r="Z15" i="14"/>
  <c r="Z14" i="14"/>
  <c r="L25" i="14"/>
  <c r="W15" i="14"/>
  <c r="W16" i="14"/>
  <c r="W14" i="14"/>
  <c r="L24" i="14"/>
  <c r="L23" i="14"/>
  <c r="N9" i="14"/>
  <c r="J9" i="14"/>
  <c r="O9" i="14" s="1"/>
  <c r="K6" i="14"/>
  <c r="Z17" i="14" l="1"/>
  <c r="W151" i="14"/>
  <c r="Z151" i="14"/>
  <c r="AD151" i="14"/>
  <c r="N147" i="14"/>
  <c r="O148" i="14"/>
  <c r="C10" i="9"/>
  <c r="C70" i="9"/>
  <c r="AV159" i="14" l="1"/>
  <c r="AV158" i="14"/>
  <c r="B75" i="9"/>
  <c r="C75" i="9"/>
  <c r="H75" i="9"/>
  <c r="AV162" i="14" l="1"/>
  <c r="AV163" i="14" s="1"/>
  <c r="I20" i="12"/>
  <c r="D19" i="12"/>
  <c r="F19" i="12"/>
  <c r="H20" i="12"/>
  <c r="C11" i="12" l="1"/>
  <c r="E34" i="12" s="1"/>
  <c r="G24" i="12" l="1"/>
  <c r="E13" i="12"/>
  <c r="C24" i="12"/>
  <c r="C34" i="12"/>
  <c r="C13" i="12"/>
  <c r="E24" i="12"/>
  <c r="C89" i="9"/>
  <c r="C88" i="9"/>
  <c r="A89" i="9"/>
  <c r="A88" i="9"/>
  <c r="C85" i="9"/>
  <c r="C84" i="9"/>
  <c r="A85" i="9"/>
  <c r="A84" i="9"/>
  <c r="C79" i="9"/>
  <c r="C78" i="9"/>
  <c r="C9" i="9"/>
  <c r="D30" i="6"/>
  <c r="N26" i="6"/>
  <c r="D26" i="6"/>
  <c r="H39" i="12"/>
  <c r="H19" i="12"/>
  <c r="A9" i="6"/>
  <c r="R33" i="1"/>
  <c r="W21" i="9" l="1"/>
  <c r="A138" i="14" l="1"/>
  <c r="A137" i="14"/>
  <c r="K233" i="14"/>
  <c r="K217" i="14"/>
  <c r="K204" i="14"/>
  <c r="L164" i="14"/>
  <c r="K62" i="14"/>
  <c r="A4" i="14"/>
  <c r="A3" i="14"/>
  <c r="K91" i="14"/>
  <c r="K75" i="14"/>
  <c r="Q28" i="14"/>
  <c r="N8" i="14"/>
  <c r="J8" i="14"/>
  <c r="O8" i="14" s="1"/>
  <c r="N7" i="14"/>
  <c r="J7" i="14"/>
  <c r="O7" i="14" s="1"/>
  <c r="N6" i="14"/>
  <c r="J6" i="14"/>
  <c r="O6" i="14" s="1"/>
  <c r="O14" i="14" l="1"/>
  <c r="N13" i="14"/>
  <c r="L62" i="9" l="1"/>
  <c r="A24" i="9"/>
  <c r="B23" i="9"/>
  <c r="H38" i="12"/>
  <c r="F38" i="12"/>
  <c r="F39" i="12" s="1"/>
  <c r="D38" i="12"/>
  <c r="D39" i="12" s="1"/>
  <c r="H37" i="12"/>
  <c r="F37" i="12"/>
  <c r="D37" i="12"/>
  <c r="H36" i="12"/>
  <c r="H40" i="12" s="1"/>
  <c r="F36" i="12"/>
  <c r="D36" i="12"/>
  <c r="H32" i="12"/>
  <c r="H28" i="12"/>
  <c r="H29" i="12" s="1"/>
  <c r="H27" i="12"/>
  <c r="H26" i="12"/>
  <c r="A22" i="6"/>
  <c r="A23" i="9" s="1"/>
  <c r="A19" i="6"/>
  <c r="A20" i="9" s="1"/>
  <c r="A20" i="6"/>
  <c r="A21" i="9" s="1"/>
  <c r="A21" i="6"/>
  <c r="A22" i="9" s="1"/>
  <c r="B24" i="9"/>
  <c r="F22" i="12"/>
  <c r="D22" i="12"/>
  <c r="A18" i="6"/>
  <c r="A19" i="9" s="1"/>
  <c r="D24" i="9"/>
  <c r="E24" i="9" s="1"/>
  <c r="I24" i="9" s="1"/>
  <c r="D25" i="9"/>
  <c r="E25" i="9" s="1"/>
  <c r="I25" i="9" s="1"/>
  <c r="D26" i="9"/>
  <c r="E26" i="9" s="1"/>
  <c r="I26" i="9" s="1"/>
  <c r="D27" i="9"/>
  <c r="D28" i="9"/>
  <c r="E28" i="9" s="1"/>
  <c r="I28" i="9" s="1"/>
  <c r="D29" i="9"/>
  <c r="E29" i="9" s="1"/>
  <c r="I29" i="9" s="1"/>
  <c r="D30" i="9"/>
  <c r="E30" i="9" s="1"/>
  <c r="I30" i="9" s="1"/>
  <c r="D31" i="9"/>
  <c r="E31" i="9" s="1"/>
  <c r="I31" i="9" s="1"/>
  <c r="D32" i="9"/>
  <c r="E32" i="9" s="1"/>
  <c r="I32" i="9" s="1"/>
  <c r="D33" i="9"/>
  <c r="E33" i="9" s="1"/>
  <c r="I33" i="9" s="1"/>
  <c r="D34" i="9"/>
  <c r="E34" i="9" s="1"/>
  <c r="I34" i="9" s="1"/>
  <c r="D35" i="9"/>
  <c r="D36" i="9"/>
  <c r="E36" i="9" s="1"/>
  <c r="I36" i="9" s="1"/>
  <c r="D37" i="9"/>
  <c r="E37" i="9" s="1"/>
  <c r="I37" i="9" s="1"/>
  <c r="D38" i="9"/>
  <c r="E38" i="9" s="1"/>
  <c r="I38" i="9" s="1"/>
  <c r="D39" i="9"/>
  <c r="E39" i="9" s="1"/>
  <c r="I39" i="9" s="1"/>
  <c r="D40" i="9"/>
  <c r="E40" i="9" s="1"/>
  <c r="I40" i="9" s="1"/>
  <c r="D41" i="9"/>
  <c r="E41" i="9" s="1"/>
  <c r="I41" i="9" s="1"/>
  <c r="D42" i="9"/>
  <c r="E42" i="9" s="1"/>
  <c r="I42" i="9" s="1"/>
  <c r="D43" i="9"/>
  <c r="D44" i="9"/>
  <c r="E44" i="9" s="1"/>
  <c r="I44" i="9" s="1"/>
  <c r="D45" i="9"/>
  <c r="E45" i="9" s="1"/>
  <c r="I45" i="9" s="1"/>
  <c r="D46" i="9"/>
  <c r="E46" i="9" s="1"/>
  <c r="I46" i="9" s="1"/>
  <c r="D47" i="9"/>
  <c r="E47" i="9" s="1"/>
  <c r="I47" i="9" s="1"/>
  <c r="D48" i="9"/>
  <c r="E48" i="9" s="1"/>
  <c r="I48" i="9" s="1"/>
  <c r="D49" i="9"/>
  <c r="E49" i="9" s="1"/>
  <c r="I49" i="9" s="1"/>
  <c r="D50" i="9"/>
  <c r="E50" i="9" s="1"/>
  <c r="I50" i="9" s="1"/>
  <c r="D51" i="9"/>
  <c r="D52" i="9"/>
  <c r="E52" i="9" s="1"/>
  <c r="I52" i="9" s="1"/>
  <c r="D53" i="9"/>
  <c r="E53" i="9" s="1"/>
  <c r="I53" i="9" s="1"/>
  <c r="D54" i="9"/>
  <c r="E54" i="9" s="1"/>
  <c r="I54" i="9" s="1"/>
  <c r="D55" i="9"/>
  <c r="E55" i="9" s="1"/>
  <c r="I55" i="9" s="1"/>
  <c r="D56" i="9"/>
  <c r="E56" i="9" s="1"/>
  <c r="I56" i="9" s="1"/>
  <c r="D57" i="9"/>
  <c r="E57" i="9" s="1"/>
  <c r="I57" i="9" s="1"/>
  <c r="D58" i="9"/>
  <c r="E58" i="9" s="1"/>
  <c r="I58" i="9" s="1"/>
  <c r="D59" i="9"/>
  <c r="D60" i="9"/>
  <c r="E60" i="9" s="1"/>
  <c r="I60" i="9" s="1"/>
  <c r="D61" i="9"/>
  <c r="E61" i="9" s="1"/>
  <c r="I61" i="9" s="1"/>
  <c r="D62" i="9"/>
  <c r="E62" i="9" s="1"/>
  <c r="I62" i="9" s="1"/>
  <c r="D63" i="9"/>
  <c r="E63" i="9" s="1"/>
  <c r="I63" i="9" s="1"/>
  <c r="D64" i="9"/>
  <c r="E64" i="9" s="1"/>
  <c r="I64" i="9" s="1"/>
  <c r="D65" i="9"/>
  <c r="E65" i="9" s="1"/>
  <c r="I65" i="9" s="1"/>
  <c r="D66" i="9"/>
  <c r="E66" i="9" s="1"/>
  <c r="I66" i="9" s="1"/>
  <c r="D67" i="9"/>
  <c r="E67" i="9" s="1"/>
  <c r="I67" i="9" s="1"/>
  <c r="D68" i="9"/>
  <c r="E68" i="9" s="1"/>
  <c r="I68" i="9" s="1"/>
  <c r="D69" i="9"/>
  <c r="E69" i="9" s="1"/>
  <c r="I69" i="9" s="1"/>
  <c r="H42" i="12" l="1"/>
  <c r="F40" i="12"/>
  <c r="F42" i="12" s="1"/>
  <c r="D40" i="12"/>
  <c r="D42" i="12" s="1"/>
  <c r="H30" i="12"/>
  <c r="E59" i="9"/>
  <c r="I59" i="9" s="1"/>
  <c r="E51" i="9"/>
  <c r="I51" i="9" s="1"/>
  <c r="E43" i="9"/>
  <c r="I43" i="9" s="1"/>
  <c r="E35" i="9"/>
  <c r="I35" i="9" s="1"/>
  <c r="E27" i="9"/>
  <c r="I27" i="9" s="1"/>
  <c r="G34" i="12" l="1"/>
  <c r="A1" i="14"/>
  <c r="L24" i="1" l="1"/>
  <c r="M24" i="1"/>
  <c r="B18" i="9" l="1"/>
  <c r="B19" i="9"/>
  <c r="B20" i="9"/>
  <c r="B21" i="9"/>
  <c r="B22" i="9"/>
  <c r="B17" i="9"/>
  <c r="A16" i="6"/>
  <c r="A17" i="9" s="1"/>
  <c r="A17" i="6"/>
  <c r="A18" i="9" s="1"/>
  <c r="D15" i="9" l="1"/>
  <c r="E15" i="9" s="1"/>
  <c r="J9" i="9"/>
  <c r="I7" i="9"/>
  <c r="D22" i="9"/>
  <c r="E22" i="9" s="1"/>
  <c r="D21" i="9"/>
  <c r="E21" i="9" s="1"/>
  <c r="D19" i="9"/>
  <c r="E19" i="9" s="1"/>
  <c r="D20" i="9"/>
  <c r="E20" i="9" s="1"/>
  <c r="D23" i="9"/>
  <c r="E23" i="9" s="1"/>
  <c r="F14" i="9"/>
  <c r="D18" i="9"/>
  <c r="E18" i="9" s="1"/>
  <c r="I18" i="9" s="1"/>
  <c r="F28" i="12"/>
  <c r="F29" i="12" s="1"/>
  <c r="F27" i="12"/>
  <c r="F26" i="12"/>
  <c r="D28" i="12"/>
  <c r="D29" i="12" s="1"/>
  <c r="D27" i="12"/>
  <c r="D26" i="12"/>
  <c r="H18" i="12"/>
  <c r="H17" i="12"/>
  <c r="H16" i="12"/>
  <c r="F18" i="12"/>
  <c r="F17" i="12"/>
  <c r="F16" i="12"/>
  <c r="F15" i="9" l="1"/>
  <c r="I15" i="9"/>
  <c r="I23" i="9"/>
  <c r="I20" i="9"/>
  <c r="I19" i="9"/>
  <c r="I21" i="9"/>
  <c r="I22" i="9"/>
  <c r="J10" i="9"/>
  <c r="F20" i="12"/>
  <c r="D16" i="9" s="1"/>
  <c r="H22" i="12"/>
  <c r="D17" i="9"/>
  <c r="E17" i="9" s="1"/>
  <c r="I17" i="9" s="1"/>
  <c r="F30" i="12"/>
  <c r="F32" i="12" s="1"/>
  <c r="D30" i="12"/>
  <c r="D32" i="12" s="1"/>
  <c r="G13" i="12" l="1"/>
  <c r="D34" i="6"/>
  <c r="E16" i="9"/>
  <c r="I16" i="9" s="1"/>
  <c r="L15" i="1"/>
  <c r="M15" i="1" l="1"/>
  <c r="D18" i="12" l="1"/>
  <c r="D17" i="12"/>
  <c r="D16" i="12"/>
  <c r="D20" i="12" l="1"/>
  <c r="F16" i="9" l="1"/>
  <c r="F17" i="9" s="1"/>
  <c r="F18" i="9" s="1"/>
  <c r="F19" i="9" s="1"/>
  <c r="F20" i="9" s="1"/>
  <c r="F21" i="9" s="1"/>
  <c r="F22" i="9" s="1"/>
  <c r="F23" i="9" s="1"/>
  <c r="F24" i="9" s="1"/>
  <c r="F25" i="9" s="1"/>
  <c r="F26" i="9" s="1"/>
  <c r="F27" i="9" s="1"/>
  <c r="F28" i="9" s="1"/>
  <c r="F29" i="9" s="1"/>
  <c r="F30" i="9" s="1"/>
  <c r="F31" i="9" s="1"/>
  <c r="F32" i="9" s="1"/>
  <c r="F33" i="9" s="1"/>
  <c r="F34" i="9" s="1"/>
  <c r="F35" i="9" s="1"/>
  <c r="F36" i="9" s="1"/>
  <c r="F37" i="9" s="1"/>
  <c r="F38" i="9" s="1"/>
  <c r="F39" i="9" s="1"/>
  <c r="F40" i="9" s="1"/>
  <c r="F41" i="9" s="1"/>
  <c r="F42" i="9" s="1"/>
  <c r="F43" i="9" s="1"/>
  <c r="F44" i="9" s="1"/>
  <c r="F45" i="9" s="1"/>
  <c r="F46" i="9" s="1"/>
  <c r="F47" i="9" s="1"/>
  <c r="F48" i="9" s="1"/>
  <c r="F49" i="9" s="1"/>
  <c r="F50" i="9" s="1"/>
  <c r="F51" i="9" s="1"/>
  <c r="F52" i="9" s="1"/>
  <c r="F53" i="9" s="1"/>
  <c r="F54" i="9" s="1"/>
  <c r="F55" i="9" s="1"/>
  <c r="F56" i="9" s="1"/>
  <c r="F57" i="9" s="1"/>
  <c r="F58" i="9" s="1"/>
  <c r="F59" i="9" s="1"/>
  <c r="F60" i="9" s="1"/>
  <c r="F61" i="9" s="1"/>
  <c r="F62" i="9" s="1"/>
  <c r="F63" i="9" s="1"/>
  <c r="F64" i="9" s="1"/>
  <c r="F65" i="9" s="1"/>
  <c r="F66" i="9" s="1"/>
  <c r="F67" i="9" s="1"/>
  <c r="F68" i="9" s="1"/>
  <c r="F69" i="9" s="1"/>
  <c r="B16" i="9"/>
  <c r="F70" i="9" l="1"/>
  <c r="F71" i="9" s="1"/>
  <c r="J40" i="11"/>
  <c r="J41" i="11" s="1"/>
  <c r="J39" i="11"/>
  <c r="J38" i="11"/>
  <c r="J42" i="11" l="1"/>
  <c r="N38" i="11" l="1"/>
  <c r="L38" i="11"/>
  <c r="L40" i="11"/>
  <c r="N40" i="11"/>
  <c r="N41" i="11" s="1"/>
  <c r="N39" i="11"/>
  <c r="H31" i="11"/>
  <c r="H32" i="11"/>
  <c r="H30" i="11"/>
  <c r="F30" i="11"/>
  <c r="P30" i="11"/>
  <c r="F31" i="11"/>
  <c r="F32" i="11"/>
  <c r="H24" i="11"/>
  <c r="H21" i="11"/>
  <c r="H22" i="11"/>
  <c r="H23" i="11"/>
  <c r="H17" i="11"/>
  <c r="H18" i="11"/>
  <c r="H19" i="11"/>
  <c r="H20" i="11"/>
  <c r="H16" i="11"/>
  <c r="F24" i="11"/>
  <c r="F23" i="11"/>
  <c r="F22" i="11"/>
  <c r="F21" i="11"/>
  <c r="F20" i="11"/>
  <c r="F19" i="11"/>
  <c r="F18" i="11"/>
  <c r="F17" i="11"/>
  <c r="F16" i="11"/>
  <c r="F12" i="11"/>
  <c r="F11" i="11"/>
  <c r="F10" i="11"/>
  <c r="F9" i="11"/>
  <c r="F8" i="11"/>
  <c r="F33" i="11" l="1"/>
  <c r="H33" i="11"/>
  <c r="N42" i="11"/>
  <c r="L30" i="11"/>
  <c r="H25" i="11"/>
  <c r="F13" i="11"/>
  <c r="F25" i="11"/>
  <c r="N44" i="11" l="1"/>
  <c r="F37" i="11"/>
  <c r="F38" i="11" s="1"/>
  <c r="F40" i="11" s="1"/>
  <c r="H9" i="11" l="1"/>
  <c r="H10" i="11"/>
  <c r="H11" i="11"/>
  <c r="H12" i="11"/>
  <c r="H8" i="11"/>
  <c r="H13" i="11" l="1"/>
  <c r="M6" i="11"/>
  <c r="K6" i="11"/>
  <c r="H39" i="11" l="1"/>
  <c r="H38" i="11"/>
  <c r="H40" i="11"/>
  <c r="H41" i="11" s="1"/>
  <c r="B15" i="9"/>
  <c r="H42" i="11" l="1"/>
  <c r="H44" i="11" l="1"/>
  <c r="J44" i="11"/>
  <c r="P24" i="11"/>
  <c r="P23" i="11"/>
  <c r="P22" i="11"/>
  <c r="P21" i="11"/>
  <c r="P20" i="11"/>
  <c r="P19" i="11"/>
  <c r="P18" i="11"/>
  <c r="P17" i="11"/>
  <c r="P16" i="11"/>
  <c r="P12" i="11"/>
  <c r="P11" i="11"/>
  <c r="P10" i="11"/>
  <c r="P9" i="11"/>
  <c r="P8" i="11"/>
  <c r="L17" i="11"/>
  <c r="L18" i="11"/>
  <c r="L19" i="11"/>
  <c r="L20" i="11"/>
  <c r="L21" i="11"/>
  <c r="L22" i="11"/>
  <c r="L23" i="11"/>
  <c r="L24" i="11"/>
  <c r="L16" i="11"/>
  <c r="L9" i="11"/>
  <c r="L10" i="11"/>
  <c r="L11" i="11"/>
  <c r="L12" i="11"/>
  <c r="L8" i="11"/>
  <c r="L25" i="11" l="1"/>
  <c r="P25" i="11"/>
  <c r="P13" i="11"/>
  <c r="L13" i="11"/>
  <c r="L39" i="11" l="1"/>
  <c r="L41" i="11"/>
  <c r="L42" i="11" l="1"/>
  <c r="P39" i="11"/>
  <c r="P40" i="11"/>
  <c r="P41" i="11" s="1"/>
  <c r="P38" i="11"/>
  <c r="P42" i="11" l="1"/>
  <c r="P44" i="11" s="1"/>
  <c r="L44" i="11"/>
  <c r="A15" i="6" l="1"/>
  <c r="A16" i="9" s="1"/>
  <c r="A14" i="6"/>
  <c r="A15" i="9" s="1"/>
  <c r="A1" i="6"/>
  <c r="A1" i="9" s="1"/>
  <c r="A5" i="6"/>
  <c r="A3" i="9" s="1"/>
  <c r="A6" i="6"/>
  <c r="A2" i="9" s="1"/>
  <c r="A7" i="6"/>
  <c r="A4" i="9" s="1"/>
  <c r="H15" i="9" l="1"/>
  <c r="J15" i="9" l="1"/>
  <c r="G17" i="9"/>
  <c r="G64" i="9"/>
  <c r="G56" i="9"/>
  <c r="G20" i="9"/>
  <c r="G28" i="9"/>
  <c r="G36" i="9"/>
  <c r="G60" i="9"/>
  <c r="G68" i="9"/>
  <c r="G44" i="9"/>
  <c r="G52" i="9"/>
  <c r="G25" i="9"/>
  <c r="G33" i="9"/>
  <c r="G41" i="9"/>
  <c r="G49" i="9"/>
  <c r="G46" i="9"/>
  <c r="G54" i="9"/>
  <c r="G62" i="9"/>
  <c r="G24" i="9"/>
  <c r="G32" i="9"/>
  <c r="G40" i="9"/>
  <c r="G48" i="9"/>
  <c r="G37" i="9"/>
  <c r="G42" i="9"/>
  <c r="G50" i="9"/>
  <c r="G23" i="9"/>
  <c r="G59" i="9"/>
  <c r="G30" i="9"/>
  <c r="G47" i="9"/>
  <c r="G53" i="9"/>
  <c r="G38" i="9"/>
  <c r="G51" i="9"/>
  <c r="G27" i="9"/>
  <c r="G22" i="9"/>
  <c r="G65" i="9"/>
  <c r="G21" i="9"/>
  <c r="G18" i="9"/>
  <c r="G45" i="9"/>
  <c r="G26" i="9"/>
  <c r="G35" i="9"/>
  <c r="G58" i="9"/>
  <c r="G34" i="9"/>
  <c r="G69" i="9"/>
  <c r="G55" i="9"/>
  <c r="G66" i="9"/>
  <c r="G31" i="9"/>
  <c r="G43" i="9"/>
  <c r="G61" i="9"/>
  <c r="G19" i="9"/>
  <c r="G63" i="9"/>
  <c r="G57" i="9"/>
  <c r="G67" i="9"/>
  <c r="G29" i="9"/>
  <c r="G39" i="9"/>
  <c r="G16" i="9"/>
  <c r="H22" i="9" l="1"/>
  <c r="H30" i="9"/>
  <c r="J30" i="9" s="1"/>
  <c r="H38" i="9"/>
  <c r="J38" i="9" s="1"/>
  <c r="H46" i="9"/>
  <c r="J46" i="9" s="1"/>
  <c r="H54" i="9"/>
  <c r="J54" i="9" s="1"/>
  <c r="H35" i="9"/>
  <c r="J35" i="9" s="1"/>
  <c r="H24" i="9"/>
  <c r="J24" i="9" s="1"/>
  <c r="H32" i="9"/>
  <c r="J32" i="9" s="1"/>
  <c r="H40" i="9"/>
  <c r="J40" i="9" s="1"/>
  <c r="H48" i="9"/>
  <c r="J48" i="9" s="1"/>
  <c r="H56" i="9"/>
  <c r="J56" i="9" s="1"/>
  <c r="H64" i="9"/>
  <c r="J64" i="9" s="1"/>
  <c r="H53" i="9"/>
  <c r="J53" i="9" s="1"/>
  <c r="H26" i="9"/>
  <c r="J26" i="9" s="1"/>
  <c r="H34" i="9"/>
  <c r="J34" i="9" s="1"/>
  <c r="H42" i="9"/>
  <c r="J42" i="9" s="1"/>
  <c r="H58" i="9"/>
  <c r="J58" i="9" s="1"/>
  <c r="H66" i="9"/>
  <c r="J66" i="9" s="1"/>
  <c r="H23" i="9"/>
  <c r="H27" i="9"/>
  <c r="J27" i="9" s="1"/>
  <c r="H43" i="9"/>
  <c r="J43" i="9" s="1"/>
  <c r="H67" i="9"/>
  <c r="J67" i="9" s="1"/>
  <c r="H21" i="9"/>
  <c r="H29" i="9"/>
  <c r="J29" i="9" s="1"/>
  <c r="H37" i="9"/>
  <c r="J37" i="9" s="1"/>
  <c r="H45" i="9"/>
  <c r="J45" i="9" s="1"/>
  <c r="H61" i="9"/>
  <c r="J61" i="9" s="1"/>
  <c r="H69" i="9"/>
  <c r="J69" i="9" s="1"/>
  <c r="H50" i="9"/>
  <c r="J50" i="9" s="1"/>
  <c r="H39" i="9"/>
  <c r="J39" i="9" s="1"/>
  <c r="H47" i="9"/>
  <c r="J47" i="9" s="1"/>
  <c r="H18" i="9"/>
  <c r="H31" i="9"/>
  <c r="J31" i="9" s="1"/>
  <c r="H55" i="9"/>
  <c r="J55" i="9" s="1"/>
  <c r="H63" i="9"/>
  <c r="J63" i="9" s="1"/>
  <c r="H20" i="9"/>
  <c r="H28" i="9"/>
  <c r="J28" i="9" s="1"/>
  <c r="H36" i="9"/>
  <c r="J36" i="9" s="1"/>
  <c r="H44" i="9"/>
  <c r="J44" i="9" s="1"/>
  <c r="H52" i="9"/>
  <c r="J52" i="9" s="1"/>
  <c r="H60" i="9"/>
  <c r="J60" i="9" s="1"/>
  <c r="H68" i="9"/>
  <c r="J68" i="9" s="1"/>
  <c r="H25" i="9"/>
  <c r="J25" i="9" s="1"/>
  <c r="H33" i="9"/>
  <c r="J33" i="9" s="1"/>
  <c r="H41" i="9"/>
  <c r="J41" i="9" s="1"/>
  <c r="H49" i="9"/>
  <c r="J49" i="9" s="1"/>
  <c r="H57" i="9"/>
  <c r="J57" i="9" s="1"/>
  <c r="H65" i="9"/>
  <c r="J65" i="9" s="1"/>
  <c r="H62" i="9"/>
  <c r="J62" i="9" s="1"/>
  <c r="H19" i="9"/>
  <c r="H51" i="9"/>
  <c r="J51" i="9" s="1"/>
  <c r="H59" i="9"/>
  <c r="J59" i="9" s="1"/>
  <c r="H17" i="9"/>
  <c r="H16" i="9"/>
  <c r="G15" i="9"/>
  <c r="B74" i="9" l="1"/>
  <c r="B76" i="9" s="1"/>
  <c r="C74" i="9"/>
  <c r="C76" i="9" s="1"/>
  <c r="H74" i="9"/>
  <c r="H76" i="9" s="1"/>
  <c r="H72" i="9"/>
  <c r="J20" i="9"/>
  <c r="N24" i="6"/>
  <c r="J23" i="9"/>
  <c r="J19" i="9"/>
  <c r="J21" i="9"/>
  <c r="J22" i="9"/>
  <c r="J18" i="9"/>
  <c r="J17" i="9"/>
  <c r="J16" i="9"/>
  <c r="H14" i="9" l="1"/>
  <c r="D27" i="6"/>
  <c r="W17" i="14"/>
</calcChain>
</file>

<file path=xl/comments1.xml><?xml version="1.0" encoding="utf-8"?>
<comments xmlns="http://schemas.openxmlformats.org/spreadsheetml/2006/main">
  <authors>
    <author>CARLOS BUCHELI</author>
  </authors>
  <commentList>
    <comment ref="D13" authorId="0" shapeId="0">
      <text>
        <r>
          <rPr>
            <b/>
            <sz val="10"/>
            <color indexed="81"/>
            <rFont val="Tahoma"/>
            <family val="2"/>
          </rPr>
          <t>CARLOS BUCHELI:</t>
        </r>
        <r>
          <rPr>
            <sz val="10"/>
            <color indexed="81"/>
            <rFont val="Tahoma"/>
            <family val="2"/>
          </rPr>
          <t xml:space="preserve">
NO AGRAGAR DATOS EN LA COLUMNA</t>
        </r>
      </text>
    </comment>
  </commentList>
</comments>
</file>

<file path=xl/sharedStrings.xml><?xml version="1.0" encoding="utf-8"?>
<sst xmlns="http://schemas.openxmlformats.org/spreadsheetml/2006/main" count="2166" uniqueCount="517">
  <si>
    <t>UNIVERSIDAD DE NARIÑO</t>
  </si>
  <si>
    <t>Fondo de Construcciones</t>
  </si>
  <si>
    <t xml:space="preserve">No. </t>
  </si>
  <si>
    <t>PROPONENTE</t>
  </si>
  <si>
    <t>RESULTADO EVALUACION JURIDICA</t>
  </si>
  <si>
    <t>OBJETO</t>
  </si>
  <si>
    <t>001</t>
  </si>
  <si>
    <t>002</t>
  </si>
  <si>
    <t>TOTAL</t>
  </si>
  <si>
    <t xml:space="preserve">ORDEN DE ELEGIBILIDAD </t>
  </si>
  <si>
    <t>Pi (valor de la propuestas)</t>
  </si>
  <si>
    <t>PI (valor de propuesta corregida)</t>
  </si>
  <si>
    <t>P.G. (Promedio geométrico)</t>
  </si>
  <si>
    <t>TARJETA PROFESIONAL O MATRICULA</t>
  </si>
  <si>
    <t>CERTIFICADO DE VIGENCIA X 10 AÑOS</t>
  </si>
  <si>
    <t>DIRECTOR DE OBRA</t>
  </si>
  <si>
    <t>RESIDENTE DE OBRA</t>
  </si>
  <si>
    <t>N (numero de propuestas habiles)</t>
  </si>
  <si>
    <t>90%</t>
  </si>
  <si>
    <t>FACTOR</t>
  </si>
  <si>
    <t>CONSTANTE</t>
  </si>
  <si>
    <t>No. PROP.</t>
  </si>
  <si>
    <t>NOMBRE PROPONENTE</t>
  </si>
  <si>
    <t>VR. PROPUESTAS CORREGIDAS SIN IVA</t>
  </si>
  <si>
    <t>COMODIN</t>
  </si>
  <si>
    <t>MAYORES AL 88% OK</t>
  </si>
  <si>
    <t>PORCENTAJE PRESUP OFICIAL</t>
  </si>
  <si>
    <t>NUMERO DE PROPUESTAS</t>
  </si>
  <si>
    <t>VALOR DE LA PROPUESTA (Pi INCLUIDO IVA)</t>
  </si>
  <si>
    <t>ASIGNACION DE PUNTAJE VALOR PROPUESTAS SIN IVA</t>
  </si>
  <si>
    <t>PROMEDIO GEOMETRICO PG SIN IVA</t>
  </si>
  <si>
    <t>PUNTAJE PRECIO SIN IVA</t>
  </si>
  <si>
    <t>VALOR DE LA PROPUESTA CORREGIDA (PI INCLUIDO IVA)</t>
  </si>
  <si>
    <t>P.G. (Promedio geométrico NO INCLUIDO IVA)</t>
  </si>
  <si>
    <t xml:space="preserve"> </t>
  </si>
  <si>
    <t>CONTRATO No.</t>
  </si>
  <si>
    <t>VALOR</t>
  </si>
  <si>
    <t>ANEXO No. 2</t>
  </si>
  <si>
    <t xml:space="preserve">PRESUPUESTO DE MANO DE OBRA CONSTRUCCION ESTRUCTURA NIVELES TRES A NIVEL SEIS (III ETAPA) </t>
  </si>
  <si>
    <t>UNIVERSIDAD DE NARIÑO-TOROBAJO</t>
  </si>
  <si>
    <t xml:space="preserve"> -</t>
  </si>
  <si>
    <t xml:space="preserve"> 2. ESTRUCTURA</t>
  </si>
  <si>
    <t xml:space="preserve"> UNIDAD</t>
  </si>
  <si>
    <t>VR. UNITARIO</t>
  </si>
  <si>
    <t xml:space="preserve"> 02.01</t>
  </si>
  <si>
    <t xml:space="preserve"> HIERRO PDR 60</t>
  </si>
  <si>
    <t xml:space="preserve"> KGS</t>
  </si>
  <si>
    <t xml:space="preserve"> 02.02</t>
  </si>
  <si>
    <t xml:space="preserve"> CONCRETO 3500 PSI COLUMNAS (Tres usos formaleta en tajillo de rayado)</t>
  </si>
  <si>
    <t xml:space="preserve"> M3</t>
  </si>
  <si>
    <t xml:space="preserve"> 02.03</t>
  </si>
  <si>
    <t xml:space="preserve"> CONCRETO 3500 PSI PANTALLAS(Tres usos formaleta en tajillo de rayado)</t>
  </si>
  <si>
    <t xml:space="preserve"> 02.04</t>
  </si>
  <si>
    <t xml:space="preserve"> CONCRETO 3500 PSI COLUMNAS PREMEZCLADO (Tres usos formaleta en tajillo de rayado)</t>
  </si>
  <si>
    <t xml:space="preserve"> 02.05</t>
  </si>
  <si>
    <t xml:space="preserve"> CONCRETO 3500 PSI PREMEZCLADO PANTALLAS(Tres usos formaleta en tajillo de rayado)</t>
  </si>
  <si>
    <t xml:space="preserve"> 3. PLACAS ENTREPISO</t>
  </si>
  <si>
    <t xml:space="preserve"> 03.01</t>
  </si>
  <si>
    <t xml:space="preserve"> 03.02</t>
  </si>
  <si>
    <t xml:space="preserve"> PLACA MACIZA METALDECK 2" CAL. 20 E=10cm f´c=21 MPa.</t>
  </si>
  <si>
    <t xml:space="preserve"> M2</t>
  </si>
  <si>
    <t xml:space="preserve"> 03.03</t>
  </si>
  <si>
    <t xml:space="preserve"> VIGA EN CONCRETO f´c=21MPa.</t>
  </si>
  <si>
    <t xml:space="preserve"> 03.04</t>
  </si>
  <si>
    <t xml:space="preserve"> PERFIL PHR CAJON 355x220 CAL. 12 GRADO 50</t>
  </si>
  <si>
    <t xml:space="preserve"> ML</t>
  </si>
  <si>
    <t xml:space="preserve"> 03.05</t>
  </si>
  <si>
    <t xml:space="preserve"> PERFIL PHR CAJON 305x160 CAL. 12 GRADO 50</t>
  </si>
  <si>
    <t xml:space="preserve"> 03.06</t>
  </si>
  <si>
    <t xml:space="preserve"> PERFIL PHR CAJON 305x160 CAL. 14 GRADO 50</t>
  </si>
  <si>
    <t xml:space="preserve"> 03.07</t>
  </si>
  <si>
    <t xml:space="preserve"> PERFIL PHR CAJON 160x120 CAL. 14 GRADO 50</t>
  </si>
  <si>
    <t xml:space="preserve"> 03.09</t>
  </si>
  <si>
    <t xml:space="preserve"> VIGA EN CONCRETO f´c=21MPa. PREMEZCLADO</t>
  </si>
  <si>
    <t xml:space="preserve"> 03.10</t>
  </si>
  <si>
    <t xml:space="preserve"> PLACA MACIZA METALDECK 2" CAL. 20 E=10cm f´c=21 MPa. CONCRETO PREMEZCLADO</t>
  </si>
  <si>
    <t xml:space="preserve"> UN</t>
  </si>
  <si>
    <t xml:space="preserve"> 7. PLATINAS METALICAS</t>
  </si>
  <si>
    <t xml:space="preserve"> 07.04</t>
  </si>
  <si>
    <t xml:space="preserve"> PLATINA TIPO A ESCALERA 320x220x3/8"</t>
  </si>
  <si>
    <t xml:space="preserve"> 07.05</t>
  </si>
  <si>
    <t xml:space="preserve"> PLATINA TIPO B ESCALERA 162x222x3/8"</t>
  </si>
  <si>
    <t xml:space="preserve"> 07.06</t>
  </si>
  <si>
    <t xml:space="preserve"> PLATINA TIPO C ESCALERA 172x232x3/8"</t>
  </si>
  <si>
    <t>TOTAL COSTO DIRECTO</t>
  </si>
  <si>
    <t>AUI ____%(DISCRIMADO)</t>
  </si>
  <si>
    <t>IVA_____%</t>
  </si>
  <si>
    <t xml:space="preserve">TOTAL </t>
  </si>
  <si>
    <t>EDIFICIO DE AULAS Y TECNOLOGIA - SECTOR SUR</t>
  </si>
  <si>
    <t>si iva</t>
  </si>
  <si>
    <t>SI</t>
  </si>
  <si>
    <t>ING. CARLOS ARMANDO BUCHELI</t>
  </si>
  <si>
    <t>DIRECTOR FONDO DE CONSTRUCCIONES</t>
  </si>
  <si>
    <t>______________________________</t>
  </si>
  <si>
    <t>OBSERVACIONES</t>
  </si>
  <si>
    <t>2.1.1 VISITA AL SITIO DE LA OBRA</t>
  </si>
  <si>
    <t>CONTRATISTA</t>
  </si>
  <si>
    <t>CONTRATANTE</t>
  </si>
  <si>
    <t>N.A</t>
  </si>
  <si>
    <t>VALOR TOTAL DEL CONTRATO</t>
  </si>
  <si>
    <t>VALOR CERTIFICADO POR EL OFERENTE EN SMMLV</t>
  </si>
  <si>
    <t>VALOR SIN IVA</t>
  </si>
  <si>
    <t>COSTO DIRECTO</t>
  </si>
  <si>
    <t>Vo.Bo.</t>
  </si>
  <si>
    <t>CONDICIONES DE EXPERIENCIA ESPECIFICA</t>
  </si>
  <si>
    <t>ELABORO:</t>
  </si>
  <si>
    <t>003</t>
  </si>
  <si>
    <t>004</t>
  </si>
  <si>
    <t>P.O. (presupuesto oficial)</t>
  </si>
  <si>
    <t>PRESUPUESTO OFICIAL CON IVA</t>
  </si>
  <si>
    <t>FIRMADA EN ORIGINAL</t>
  </si>
  <si>
    <t xml:space="preserve">AREA CERTIFICADA MAYOR O IGUAL A 5100 M2 (DEMOLICION DE CONSTRUCCIONES EN CONCRETO ) </t>
  </si>
  <si>
    <t>VALOR MAYOR O IGUAL A 510 SMMLV</t>
  </si>
  <si>
    <t>PUNTAJE TOTAL</t>
  </si>
  <si>
    <t>10.01 REQUISITOS HABILITANTES - DISPONIBILIDAD DE EQUIPO</t>
  </si>
  <si>
    <t>NO</t>
  </si>
  <si>
    <t>10.01 REQUISITOS HABILITANTES  PERSONAL- DIRECTOR DE OBRA</t>
  </si>
  <si>
    <t>10.01 REQUISITOS HABILITANTES  PERSONAL- RESIDENTE DE OBRA</t>
  </si>
  <si>
    <t>10.01 REQUISITOS HABILITANTES  PERSONAL- ESPECIALISTA EN SALUD OCUPACIONAL</t>
  </si>
  <si>
    <t>10.01 REQUISITOS HABILITANTES  PERSONAL-MAESTRO GENERAL DE OBRA</t>
  </si>
  <si>
    <t>10.01 REQUISITOS HABILITANTES  PERSONAL-MANO DE OBRA NO CALIFICADA</t>
  </si>
  <si>
    <t>10.01 REQUISITOS HABILITANTES  PERSONAL- ESPECIALISTA EN ESTRUCTURAS</t>
  </si>
  <si>
    <t>NO ADMISIBLE</t>
  </si>
  <si>
    <t>MARCO HUGO RUIZ</t>
  </si>
  <si>
    <t>presenta contraseña mas no cedula</t>
  </si>
  <si>
    <t>CERTIFICADO DE TRABAJO EN ALTURAS</t>
  </si>
  <si>
    <t>CUMPLE</t>
  </si>
  <si>
    <t>VICERRECTOR ADMINISTRATIVO</t>
  </si>
  <si>
    <t>PERSONAL MÍNIMO REQUERIDO</t>
  </si>
  <si>
    <t>TIEMPO SEGÚN CONTRATO (meses)</t>
  </si>
  <si>
    <t>005</t>
  </si>
  <si>
    <t>006</t>
  </si>
  <si>
    <t>007</t>
  </si>
  <si>
    <t>008</t>
  </si>
  <si>
    <t>009</t>
  </si>
  <si>
    <t>RETIE</t>
  </si>
  <si>
    <t>IMPREVISTOS</t>
  </si>
  <si>
    <t>UTILIDAD</t>
  </si>
  <si>
    <t>IVA</t>
  </si>
  <si>
    <t>VALOR PARCIAL</t>
  </si>
  <si>
    <t>FACTOR CONTRATISTA/INTERVENTOR</t>
  </si>
  <si>
    <t>VALOR EN SMMLV CONTRATO</t>
  </si>
  <si>
    <t>CERTIFICADO DE VIGENCIA</t>
  </si>
  <si>
    <t>DOCUMENTO</t>
  </si>
  <si>
    <t>No. FOLIO LICIT,</t>
  </si>
  <si>
    <t>FECHA DE INICIO LABORES</t>
  </si>
  <si>
    <t>TOTAL TIEMPO EN MESES (60 MESES)</t>
  </si>
  <si>
    <t>TIEMPO CALENDARIO TRANSCURRIDO (meses)</t>
  </si>
  <si>
    <t>TIEMPO CERTIFICADO (MESES)</t>
  </si>
  <si>
    <t>COPIA MATRICULA PROFESIONAL</t>
  </si>
  <si>
    <t>COPIA DEL TITULO DE POSGRADO</t>
  </si>
  <si>
    <t>EXPERIENCIA GENERAL MIN. 5 AÑOS</t>
  </si>
  <si>
    <t>CONTRATISTA DE OBRA</t>
  </si>
  <si>
    <t>COPIA DEL CONTRATO</t>
  </si>
  <si>
    <t>ARQUITECTO</t>
  </si>
  <si>
    <t>LICENCIA DE SALUD OCUPACIONAL</t>
  </si>
  <si>
    <t>EXPERIENCIA GENERAL MIN. 10 AÑOS</t>
  </si>
  <si>
    <t>14,4 FORMA DE PAGO</t>
  </si>
  <si>
    <t>CARTA SOLICITUD DE ANTICIPO</t>
  </si>
  <si>
    <t>CARTA DE RENUNCIA AL ANTICIPO</t>
  </si>
  <si>
    <t>14,5. APOYO A LA INDUSTRIA NACIONAL</t>
  </si>
  <si>
    <t>14,6. PUNTAJE POR PERSONAL CON DISCAPACIDAD</t>
  </si>
  <si>
    <t>CANTIDAD</t>
  </si>
  <si>
    <t>VALOR SMMLV CERTIFICADA</t>
  </si>
  <si>
    <t>40% DE LA EXPERIENCIA</t>
  </si>
  <si>
    <t>NOMBRE DEL CONTRATISTA</t>
  </si>
  <si>
    <t>NO PRESENTA</t>
  </si>
  <si>
    <t>SECCION 14. EVALUACION DE LAS OFERTAS - ASIGNACION DE PUNTAJE</t>
  </si>
  <si>
    <t>14. ERROR MAXIMO PERMISIBLE 0,1%</t>
  </si>
  <si>
    <t>14. 0.90*Po&lt;=PI&lt;=Po</t>
  </si>
  <si>
    <t>14,1 PUNTAJE POR PRECIO</t>
  </si>
  <si>
    <t>14.2 PUNTAJE CONDICIONES DE EXPERIENCIA POR AREA DE CONSTRUCCION</t>
  </si>
  <si>
    <t>14.2 PUNTAJE CONDICIONES DE EXPERIENCIA POR VALOR EN SMMLV</t>
  </si>
  <si>
    <t>14.3 PUNTAJE POR CAPACIDAD DE ORGANIZACIÓN</t>
  </si>
  <si>
    <t>14.4 PUNTAJE POR FORMA DE PAGO</t>
  </si>
  <si>
    <t>14.5 APOYO A LA INDUSTRIA NACIONAL</t>
  </si>
  <si>
    <t>14.6 14.6 PUNTAJE POR PERSONAL CON DISCAPACIDAD</t>
  </si>
  <si>
    <t>NOTAS:</t>
  </si>
  <si>
    <t>CONSORCIO UCI CIVIL</t>
  </si>
  <si>
    <t>002 DE 2010</t>
  </si>
  <si>
    <t>ING. CARLOS BUCHELI</t>
  </si>
  <si>
    <t>WILLIAM CASTILLO</t>
  </si>
  <si>
    <t>COMITÉ TECNICO ASESOR</t>
  </si>
  <si>
    <t>VICENTE PARRA</t>
  </si>
  <si>
    <t>CHRISTIAN NARVAEZ</t>
  </si>
  <si>
    <t>ING. JAIRO GUERRERO</t>
  </si>
  <si>
    <t>VICE RECTOR ADMINISTRATIVO</t>
  </si>
  <si>
    <t>CARTA DE INTENCIÓN</t>
  </si>
  <si>
    <t>PROFESIÓN INGENIERO/ARQUITECTO</t>
  </si>
  <si>
    <t>FOLIO DE LA LICITACIÓN No.</t>
  </si>
  <si>
    <t>FECHA FINALIZACIÓN LABORES</t>
  </si>
  <si>
    <t>ACTA DE RECIBO FINAL/LIQUIDACIÓN</t>
  </si>
  <si>
    <t>OBSERVACIÓN</t>
  </si>
  <si>
    <t>INGENIERO ELÉCTRICO</t>
  </si>
  <si>
    <t>CONTRATISTA DE CONSULTORÍA/ASESORÍA/DISEÑADOR</t>
  </si>
  <si>
    <t>EXPERIENCIA EN EL SISTEMA DE GESTIÓN</t>
  </si>
  <si>
    <t>CARTA DE CUPO DE CRÉDITO -1</t>
  </si>
  <si>
    <t>TOTAL CUPO CRÉDITO O SALDO</t>
  </si>
  <si>
    <t>VALOR REQUERIDO CUPO CRÉDITO</t>
  </si>
  <si>
    <t>CUMPLE CUPO DE CRÉDITO</t>
  </si>
  <si>
    <t>% DE EXPERIENCIA CERTIFICADA POR COLMUCOOP LTDA.</t>
  </si>
  <si>
    <t>NUMERO DE TRABAJADORES</t>
  </si>
  <si>
    <t>VINCULACIÓN TRABAJADOR CON DISCAPACIDAD</t>
  </si>
  <si>
    <t>AÑO DE FINALIZACIÓN OBRA</t>
  </si>
  <si>
    <t>% PARTICIPACIÓN DEL CONSORCIO Y FACTOR</t>
  </si>
  <si>
    <t>ASESOR EN INGENIERA ELÉCTRICA: JULIO CESAR PINZÓN CAMACHO</t>
  </si>
  <si>
    <t>No. DE CERTIFICACIÓN</t>
  </si>
  <si>
    <t>CERTIFICACIÓN</t>
  </si>
  <si>
    <t>COPIA LICENCIA DE CONSTRUCCIÓN/FACTURA DIAN</t>
  </si>
  <si>
    <t>ÁREA CERTIFICADA</t>
  </si>
  <si>
    <t>TOTAL ÁREA CERTIFICADA MAYOR A 3000 M2</t>
  </si>
  <si>
    <t>ÁREA CERTIFICADA (m2)</t>
  </si>
  <si>
    <t>LICENCIA DE CONSTRUCCIÓN</t>
  </si>
  <si>
    <t>ÁREA TOTAL CERTIFICADA (M2)</t>
  </si>
  <si>
    <t>ÁREA CERTIFICADA POR EL OFERENTE</t>
  </si>
  <si>
    <t>REVISIÓN CONDICIONES DE EXPERIENCIA, CAPACIDAD DE ORGANIZACIÓN, FORMA DE PAGO, APOYO A LA INDUSTRIA NACIONAL, PERSONAL CON DISCAPACIDAD,  Y DIRECTOR DE OBRA</t>
  </si>
  <si>
    <t>RESIDENTE DE OBRA: CARLOS MANRIQUE SAAVEDRA</t>
  </si>
  <si>
    <t>ELABORO: ING. CARLOS ARMANDO BUCHELI</t>
  </si>
  <si>
    <t>VALOR TOTAL CORREGIDO</t>
  </si>
  <si>
    <t>ADMINISTRACIÓN</t>
  </si>
  <si>
    <t>CONSORCIO UDENAR FACEA 2019</t>
  </si>
  <si>
    <t>JOSE ANTONIO MARTINEZ GUERRA</t>
  </si>
  <si>
    <t>HOSPITAL EDUARDO SANTOS DE LA UNION</t>
  </si>
  <si>
    <t>REFORZAMIENTO ESTRUCTURAL Y AMPLIACION DEL HOSPITAL EDUARDO SANTOS</t>
  </si>
  <si>
    <t>ÁREA DE CONSTRUCCIÓN M2</t>
  </si>
  <si>
    <t>CONSORCIO JG INGENIERIA</t>
  </si>
  <si>
    <t>LP 02 2013</t>
  </si>
  <si>
    <t>HOSPITAL CIVIL DE IPIALES</t>
  </si>
  <si>
    <t>CONSTRUCCION DE L AUNIDAD DE CUIDADOS INTENSIVOS DE CIDUAD DE IPIALES</t>
  </si>
  <si>
    <t>SIN NUMERO</t>
  </si>
  <si>
    <t>CONSORCIO MARTINEZ</t>
  </si>
  <si>
    <t>CONSTRUCCION CNETRO ADMINISTRATIVO MUNICPAL DE LINARES</t>
  </si>
  <si>
    <t>ALCALDIA MUNICIPAL DE LINARES</t>
  </si>
  <si>
    <t>MOISES MARTINEZ VARGAS</t>
  </si>
  <si>
    <t>ÁREA DE CONSTRUCCIÓN MAYOR A 2.800 M2</t>
  </si>
  <si>
    <t>VALOR OBRA MAYOR A 1.600 SMMLV</t>
  </si>
  <si>
    <t>DIRECTOR DE OBRA - MARIO ANDRES LOPEZ MARTINEZ</t>
  </si>
  <si>
    <t>012-001 DE 2012</t>
  </si>
  <si>
    <t>MARIO ANDRES LOPEZ MARTINEZ</t>
  </si>
  <si>
    <t>FUNDACION HOSPITAL SAN PEDRO</t>
  </si>
  <si>
    <t>REFORZAMIENTO ESTRUCTURAL - REORGANIZACION FISICO FUNCIONAL Y AMPLIACION BLOQUE….</t>
  </si>
  <si>
    <t>CERTIFICACION COMO CONTRATISTA DE OBRA</t>
  </si>
  <si>
    <t>CERTIFICACION COMO DIRECTOR DE OBRA</t>
  </si>
  <si>
    <t>ENTIDAD CONTRATANTE</t>
  </si>
  <si>
    <t>CONTRATISTA DE LA OBRA</t>
  </si>
  <si>
    <t>NUMERO DE FOLIO DEL CONTRATO DE OBRA</t>
  </si>
  <si>
    <t>LICENCIA No, LC32001-1-11-0631</t>
  </si>
  <si>
    <t>NO CERTIFICA EXPERIENCIA COMO CONTRATISTA DE OBRA CON ENTIDAD DE DERECHO PRIVADO, NO CERTIFICA LICENCIA COMO CONSTRUCTOR RESPONSABLE.</t>
  </si>
  <si>
    <t>EMPRESA SOCIAL DEL ESTADO EDUARDO SANTOS - LA UNION NARIÑO</t>
  </si>
  <si>
    <t>No. FOLIO ACTA DE RECIBO FINAL/LIQUIDACIÓN</t>
  </si>
  <si>
    <t>FECHA INICIO</t>
  </si>
  <si>
    <t>FECHA FINAL</t>
  </si>
  <si>
    <t>MESES</t>
  </si>
  <si>
    <t>TOTAL TIEMPO CERTIFICADO</t>
  </si>
  <si>
    <t>ALCALDIA MUNICIPAL DE  LINARES</t>
  </si>
  <si>
    <t>CONSTRUCCION CENTRO ADMINISTRATIVO DE LINARES</t>
  </si>
  <si>
    <t>272, 279</t>
  </si>
  <si>
    <t>EN ACTA DE LIQUIDACION NO SE PUEDE DETERMINAR LA FECHA DE REINICIO No.1.</t>
  </si>
  <si>
    <t>No. FOLIO DE LA LICITACIÓN No.</t>
  </si>
  <si>
    <t>NO SE DETERMINA</t>
  </si>
  <si>
    <t>MARTINEZ Y COMPAÑÍA INGENIEROS CONSTRUCTORES SAS</t>
  </si>
  <si>
    <t>CONSTRUCCION EDIFICIO DE VIVIENDA MULTIFAMILIAR TORRES DE SAN FRANCISCO</t>
  </si>
  <si>
    <t>FOLIO 283 LICENCIA No. LC-52-001-1-15-0184</t>
  </si>
  <si>
    <t>OBRA EJECUTADA POR EL MISMO PROPIETARIO DEL PROYECTO</t>
  </si>
  <si>
    <t>NO CUMPLE, SOLO APORTA 35.02 MESES COMO DIRECTOR DE OBRA</t>
  </si>
  <si>
    <t xml:space="preserve">EXPERTO EN ESTRUCTURAS: </t>
  </si>
  <si>
    <t xml:space="preserve">ASESOR EN INGENIERA ELÉCTRICA: </t>
  </si>
  <si>
    <t>CONSORCIO EDUCAR 2019</t>
  </si>
  <si>
    <t>003 LP 2014</t>
  </si>
  <si>
    <t>CONSORCIO EDUCAR 2014</t>
  </si>
  <si>
    <t>JHON JAIRO GALINDEZ</t>
  </si>
  <si>
    <t>ALCALDIA DE CHACHAGUI</t>
  </si>
  <si>
    <t>CONSTRUCCION 1 ETAPA CIUDADELA EDUCATIVA MUNICIPIO DE CHACHAGUI</t>
  </si>
  <si>
    <t>NATHALIA MARCELA ROSERO PALACIOS</t>
  </si>
  <si>
    <t>CONSORCIO NARA</t>
  </si>
  <si>
    <t>INSTITUTO DEPARTAMENTAL DE SALUD</t>
  </si>
  <si>
    <t>CONSTRUCCION DEL AREA DE ANALISIS Y TOXICOLOGIA….</t>
  </si>
  <si>
    <t>DIRECTOR DE OBRA - NATHALIA ROSERO</t>
  </si>
  <si>
    <t>OC-002-2019</t>
  </si>
  <si>
    <t>NATHALIA ROSERO</t>
  </si>
  <si>
    <t>CAJA DE COMPENSACION FAMILIAR DE NARIÑO</t>
  </si>
  <si>
    <t>JHON JAIRO GALINDEZ SANTANDER</t>
  </si>
  <si>
    <t>CONSTRUCCION DE AREA DE SERVICIOS COMPLEMENTARIOS HOTEL AGUALONGO</t>
  </si>
  <si>
    <t>NO CERTIFICA EXPERIENCIA COMO CONTRATISTA DE OBRA CON PERSONA DE DERECHO PRIVADO</t>
  </si>
  <si>
    <t>001 DE 2010</t>
  </si>
  <si>
    <t>ALCALDIA DE CUMBAL</t>
  </si>
  <si>
    <t>JOSE EDMUNDO ROSERO ORTIZ</t>
  </si>
  <si>
    <t>MEJORAMIENTO INSTITUCIONES EDUCATIVA MUNICIPIO DE CUMBAL NARIÑO</t>
  </si>
  <si>
    <t>114-118</t>
  </si>
  <si>
    <t>MUNICIPIO DE SAN BERNARDO</t>
  </si>
  <si>
    <t>CONSTRUCCION DE 4 AULAS Y UNA BATERIA SANITARIA INST. EDICATIVA JOSE ANTONIO GALAN…</t>
  </si>
  <si>
    <t>124, 121</t>
  </si>
  <si>
    <t>TOTAL TIEMPO</t>
  </si>
  <si>
    <t>CERTIFICA 1.37 MESES TENIENDO EN CUENTA SIMULTANEIDAD DE CONTRATOS, APORTA SOLO MODIFICATORIO EN TIEMPO POR 20 DIAS</t>
  </si>
  <si>
    <t>CO-001-05</t>
  </si>
  <si>
    <t>FUNDACION NARIÑO 2000</t>
  </si>
  <si>
    <t>CONSTRUCCION DE LA PRIMERA ETAPA DEL BLOQUE DE URGENCIAS MUNICPIO DE BERRUECOS</t>
  </si>
  <si>
    <t>901-2011</t>
  </si>
  <si>
    <t>HOSPITAL RICAURTE ESE</t>
  </si>
  <si>
    <t>CONSTRUCCION CENTRO DE SALUD OSPINA PEREZ</t>
  </si>
  <si>
    <t>001-2013</t>
  </si>
  <si>
    <t>ALCALDIA DE GUAITARILLA</t>
  </si>
  <si>
    <t>CONSTRUCCION POLIDEPORTIVO VEREDA GRIARDOT…</t>
  </si>
  <si>
    <t xml:space="preserve">ASESOR EN EL ÁREA DE ARQUITECTURA:  </t>
  </si>
  <si>
    <t xml:space="preserve">ESPECIALISTA EN SALUD OCUPACIONAL: </t>
  </si>
  <si>
    <t xml:space="preserve">MAESTRO GENERAL DE OBRA: </t>
  </si>
  <si>
    <t xml:space="preserve">RESIDENTE DE OBRA: </t>
  </si>
  <si>
    <t xml:space="preserve">CONSORCIO FACEA UDENAR </t>
  </si>
  <si>
    <t>LP-03-2014</t>
  </si>
  <si>
    <t>CONSORCIO CONSTRUBAS</t>
  </si>
  <si>
    <t>JOSE MESIAS BASTIDAS</t>
  </si>
  <si>
    <t>MUNICIPIO DE POTOSI</t>
  </si>
  <si>
    <t>CONSTRUCCION CENTRO DE INTEGRACION CIUDADANA MUNICIPIO DE POTOSI</t>
  </si>
  <si>
    <t>JORGE ANDRES DE LA CRUZ</t>
  </si>
  <si>
    <t>MUNICIPIO DE COLON GENOVA</t>
  </si>
  <si>
    <t>CONSTRUCCION DE AULAS Y AREA ADMINISTRATIVA EN LA INSTITUCION TECNICO INDUSTRIAL</t>
  </si>
  <si>
    <t>CONSORCIO DE LA CRUZ 2014</t>
  </si>
  <si>
    <t>JORGE ANDRES DE LA CRUZ-GESTION INTEGRAL ESPECIALIZADA SAS</t>
  </si>
  <si>
    <t>FM END 107.01.2013</t>
  </si>
  <si>
    <t>CONSORCIO DEPORTIVO 2013</t>
  </si>
  <si>
    <t>CONSTRUCCIONES MAJA SAS</t>
  </si>
  <si>
    <t>FONDO MIXTO PARA LA PROMOSION DEL DEPORTE Y LA GESTION SOCIAL</t>
  </si>
  <si>
    <t>CONSTRUCCION COLISEO MUNDIALISTA ESCUALEA NACIONAL DE DEPORTE</t>
  </si>
  <si>
    <t>DIRECTOR DE OBRA: JAIRO GUILLERMO NARVAEZ</t>
  </si>
  <si>
    <t>S/N</t>
  </si>
  <si>
    <t>JAIRO GUILLERMO NARVAEZ</t>
  </si>
  <si>
    <t>MUNICIPIO DE SAN BERNARDO NARIÑO</t>
  </si>
  <si>
    <t>CONSORCIO NARVAEZ MORA</t>
  </si>
  <si>
    <t>CONSTRUCCION DE OCHO AULAS, DOS LABORATORIOS SALA DE INFORMATICA Y BATERIA SANITARIA….</t>
  </si>
  <si>
    <t>LP 003-OP-2009</t>
  </si>
  <si>
    <t>ALCALDIA MUNICIPAL DE COLON</t>
  </si>
  <si>
    <t>JAIRO NARVAEZ</t>
  </si>
  <si>
    <t>CONSTRUCCION DE SEIS AULAS Y BATERIA SANITARIA EN EL INSTITUTO AGROPECUARIO SAN CARLOS….</t>
  </si>
  <si>
    <t>MUNICIPIO DE SAN PABLO</t>
  </si>
  <si>
    <t>UNION TEMPORAL PALACIO 2006</t>
  </si>
  <si>
    <t>CONSTRUCCION II ETAPA PALACIO DE GOBIERNO MUNICIPAL DE SAN PABLO NARIÑO</t>
  </si>
  <si>
    <t>ALCALDIA MUNICIPAL DE CUMBITARA</t>
  </si>
  <si>
    <t>CONSORCIO PANTOJA NARVAEZ</t>
  </si>
  <si>
    <t>CONSTRUCCION CASA DE GOBIERNO Y CULTURA ETAPA I</t>
  </si>
  <si>
    <t>LP-02-2011</t>
  </si>
  <si>
    <t>MUNICIPIO DE CUMBITARA</t>
  </si>
  <si>
    <t>CONSTRUCCION DE 5 AULAS PARA LA PRIMERA FASE DE LA NUEVA SEDEUNO DE LA I.E AGROPECUARIA SANTA ROSA</t>
  </si>
  <si>
    <t>SA-003-2016</t>
  </si>
  <si>
    <t>CONSTRUCCION DEL CENTRO EDUCATIVO DE LA COMUNIDAD INDIGENA EL HOJAL DEL MUNICIPIO DE RICAURTE NARIÑO</t>
  </si>
  <si>
    <t>CONSTRUCCION DE AULAS Y AREA ADINISTRATIVA EN LA INSTITUCION TECNICO INDUSTRIAL EDUCATIVA DIVINO NOÑO….</t>
  </si>
  <si>
    <t>GUSTAVO ADOLFO CERON ORTEGA</t>
  </si>
  <si>
    <t>CONSTRUCCION AULA DE CLASE VEREDA EL CONSUELO</t>
  </si>
  <si>
    <t>MUNICIPIO DE RICAURTE</t>
  </si>
  <si>
    <t>MUNICIPIO DE COLON GENOVA DEPTO DE NARIÑO</t>
  </si>
  <si>
    <t>No. FOLIO DE LA CERTIFICACION No.</t>
  </si>
  <si>
    <t xml:space="preserve">CONSTRUCCION MODULO AGRUPADO PARA INFANTES CORREGIMIENTO DE SIDON </t>
  </si>
  <si>
    <t>CONSTRUCCION MODULO AGRUPADO PARA INFANTES CORREGIMIENTO DE PIZANDA</t>
  </si>
  <si>
    <t>TIEMPOS SIMULTANEOS CERTIFICACION No. 01</t>
  </si>
  <si>
    <t>CONSTRUCCION PUESTO DE SALUD VEREDA YANAZARA Y MEJORAMIENTO INFRAESTRUCTURA DEL AREA DE URGENCIAS DE LA ESE SAN PEDRO</t>
  </si>
  <si>
    <t>CO-09-0067</t>
  </si>
  <si>
    <t>ALCALDIA MUNICPAL DE FUNES/FUNDACION MARIO SANTO DOMINGO</t>
  </si>
  <si>
    <t>CONSTRUCCION DE TRES AULAS DE 43.97 M2 CADA UNA, UNA AULA ESCOLAR DE 44.97 M2, UNA AULA MULTIPLE…</t>
  </si>
  <si>
    <t>CONSORCIO MYR</t>
  </si>
  <si>
    <t>CONSTRUCCION PLAZA D EVENTAS POPULARES 20 DE JULIO</t>
  </si>
  <si>
    <t>MUNICIPIO DE PASTO</t>
  </si>
  <si>
    <t>CONSORCIO CYC GENOVA 2014</t>
  </si>
  <si>
    <t>CONSTRUCCION CNETRO DE INTEGRACION CIUDADAN MUNICIPIO DE COLON</t>
  </si>
  <si>
    <t>R002-2018</t>
  </si>
  <si>
    <t>MUNICIPIO DE YACUANQUER</t>
  </si>
  <si>
    <t>CONSORCIO CDI DE LA CRUZ NARVAEZ</t>
  </si>
  <si>
    <t>CONSTRUCCION COMEDOR Y ADECUACION DE INSTALACIONES DE COCINA Y AULAS CDI</t>
  </si>
  <si>
    <t>NO CUMPLE. NO CERTIFICA 36 MESES COMO DIRECTOR DE OBRA</t>
  </si>
  <si>
    <t>OBJETO: CONSTRUCCION SEGUNDA FASE EDIFICIO FACE, BLOQUE 1, SECTOR NORTE, UNIVERSIDAD DE NARIÑO SEDE TOROBAJO - DEPARTAMENTO DE NARIÑO.</t>
  </si>
  <si>
    <t>CONVOCATORIA PUBLICA No. 119602 de 2019</t>
  </si>
  <si>
    <t>FECHA:   29 de agosto de 2019</t>
  </si>
  <si>
    <t>ALCALDIA MUNICIPAL DE SAN LORENZO</t>
  </si>
  <si>
    <t>ANDRES RICARDO MORA</t>
  </si>
  <si>
    <t>CONSTRUCCION DEL CENTRO DE INTEGRACIÓN CIUDADANA EN EL MUNICIPIO DE SAN LORENZO - NARIÑO</t>
  </si>
  <si>
    <t>NO ANEXA CERTIFICACION</t>
  </si>
  <si>
    <t>CONSORCIO JRL</t>
  </si>
  <si>
    <t>4</t>
  </si>
  <si>
    <t xml:space="preserve">U.T INGENAR </t>
  </si>
  <si>
    <t>CONSTRUCCION PRIMERA ETAPA NUEVO BLOQUE 1 FACEA SECTOR NORTE DE LA UNIVERSIDAD DE NARIÑO</t>
  </si>
  <si>
    <t>149 HASTA 183</t>
  </si>
  <si>
    <t>N/A</t>
  </si>
  <si>
    <t>1319-14</t>
  </si>
  <si>
    <t>DEPARTAMENTO DE NARIÑO</t>
  </si>
  <si>
    <t>CONSORCIO JL</t>
  </si>
  <si>
    <t>CONSTRUCCIÓN 3 AULAS, AULA DE INFORMATIZA,  RESTAURANTE ESCOLAR Y UNIDAD SANITARIA EN EL I.E. RICAURTE MUNICIPIO DE RICAURTE</t>
  </si>
  <si>
    <t>184 HASTA 204</t>
  </si>
  <si>
    <t>INPEC</t>
  </si>
  <si>
    <t>CONSORCIO INGENAR</t>
  </si>
  <si>
    <t>ADECUACION DEL EDIFICIO ADMINISTRATIVO, ALOJAMIENTO DE GUARDIA Y DE RECLUSION Y AREA DE SANIDAD EN EL ESTABLECIMIENTO PENITENCIARIO CARCELARIO DE PASTO</t>
  </si>
  <si>
    <t>205 HASTA 212</t>
  </si>
  <si>
    <t>S/N DE MAYO 15 DE 2009</t>
  </si>
  <si>
    <t>MUNICIPIO DE ANCUYA</t>
  </si>
  <si>
    <t>ARQUITECTO RAFAEL GRANJA PELAEZ</t>
  </si>
  <si>
    <t>CONSTRUCCION - AMPLIACION Y REMODELACION DEL CENTRO ADMINISTRATIVO MUNICIPAL DE ANCUYA - NARIÑO</t>
  </si>
  <si>
    <t>213 HASTA 223</t>
  </si>
  <si>
    <t>221 HASTA 223</t>
  </si>
  <si>
    <t>WILLIAM BASANTE CASTILLO</t>
  </si>
  <si>
    <t>CONSTRUCCIÓN DE EDIFICIO COMERCIAL DE DOS PISOS…</t>
  </si>
  <si>
    <t>RICARDO ENRIQUEZ ARELLANO</t>
  </si>
  <si>
    <t>5</t>
  </si>
  <si>
    <t>CONSORCIO CP- UNIVERSIDAD DE NARIÑO</t>
  </si>
  <si>
    <t>CONSORCIO UNI-INGENIEROS FACEA 2019</t>
  </si>
  <si>
    <t>WILLIAM CARDONA OLMOS</t>
  </si>
  <si>
    <t>ALCALDÍA DE IBAGUÉ</t>
  </si>
  <si>
    <t>SE TIENE EN CUENTA LOS TIEMPOS DE SUSPENSION Y REINCIO DE OBRA SEGÚN ACTA DE LIQUIDACION DE OBRA</t>
  </si>
  <si>
    <t>1323 DE 2015</t>
  </si>
  <si>
    <t>CONSTRUCCIÓN Y ADECUACIÓN Y ARREGLO LOCATIVO DE LAS INSTITUCIONES EDUCATIVAS</t>
  </si>
  <si>
    <t>SE PRESENTA INCONSISTENCIAS EN LOS DATOS PLAZOS Y PRORROGAS DEL ACTA DE LIQUIDACION, CON RESPECTO A LETRAS Y NUMEROS. SE TOMA EN CUENTA LOS TIEMPOS SEGÚN FECHAS DE SUSPECION Y REINICIO. NO PRESENTA ADCIONES AL CONTRATO.</t>
  </si>
  <si>
    <t>CONSORCIO USISUR</t>
  </si>
  <si>
    <t>CONSTRUCCIÓN DE LA PRIMERA ETAPA DE UNIDAD INTERMEDIA DE SALUD</t>
  </si>
  <si>
    <t>ALCALDÍA DEL LÍBANO</t>
  </si>
  <si>
    <t>CONSTRUCCIÓN DE LA PRIMERA ETAPA DEL NUEVO BLOQUE DE LA ESCUELA TESORO</t>
  </si>
  <si>
    <t>1088 DE NOV DE 2006</t>
  </si>
  <si>
    <t>GOBERNACIÓN DEL TOLIMA</t>
  </si>
  <si>
    <t>SOLO SE CERTIFICA TIEMPO DE EJECUCION DE UN MES SEGÚN CONTRATO,</t>
  </si>
  <si>
    <t>SUMA TOTAL DE TIEMPO DE EJECUCION DE CONTRATOS COMO DIRECTOR DE OBRA 35,36 MESES, NO CUMPLE MINIMO DE 36 MESES,</t>
  </si>
  <si>
    <t>FONADE</t>
  </si>
  <si>
    <t>EJECUCIÓN DE LOS ESTUDIOS Y DISEÑOS Y CONSTRUCCIÓN DE UN CENTRO DE DESARROLLO INFANTIL</t>
  </si>
  <si>
    <t>SENA</t>
  </si>
  <si>
    <t>ELABORACIÓN Y AJUSTE DE LOS DISEÑOS Y ESTUDIOS TÉCNICOS Y LA CONSTRUCCIÓN DE LOS AMBIENTES PLURITECNOLOGICOS</t>
  </si>
  <si>
    <t>NO APORTA ADICION No.1 SOLO SE CERTIFICA 5 MESES DEL CONTRATO EN LA ETAPA DE CONSTRUCCION,</t>
  </si>
  <si>
    <t>CONSORCIO WCO FACIEN</t>
  </si>
  <si>
    <t>RECARDO ENRIQUEZ ARELLANO</t>
  </si>
  <si>
    <t xml:space="preserve">S/N </t>
  </si>
  <si>
    <t>CONSTRUCCIÓN DE LA SEGUNDA ETAPA DE LA UNIDAD INTERMEDIA DE SALUD DE LOS BARRIOS DEL SUR EN EL MUNICIPIO DE IBAGUE, DEPARTAMENTO DEL TOLIMA</t>
  </si>
  <si>
    <t>344 HASTA 380</t>
  </si>
  <si>
    <t>347 HASTA 351</t>
  </si>
  <si>
    <t>CERTIFICACION NO VALIDA</t>
  </si>
  <si>
    <t>182-O DE 2012</t>
  </si>
  <si>
    <t>CONSTRUCCIÓN DE UN AULA DE PREESCOLAR EN LA IE TÉCNICA CARLOS BLANCO NASSAR DEL MUNICIPIO DE ANZOATEGUI</t>
  </si>
  <si>
    <t>438 HASTA 439</t>
  </si>
  <si>
    <t>454 HASTA 457</t>
  </si>
  <si>
    <t>474 HASTA 488</t>
  </si>
  <si>
    <t>CONSTRUCCIÓN DE LA PRIMERA ETAPA DEL NUEVO BLOQUE UNO FACIEN SECTOR NORTE DE LA UNIVERSIDAD DE NARIÑO SEDE TOROBAJO</t>
  </si>
  <si>
    <t>598 HASTA 604</t>
  </si>
  <si>
    <t>6</t>
  </si>
  <si>
    <t>CONSORCIO GHR</t>
  </si>
  <si>
    <t>CARLOS ALBERTO CAICEDO EGAS</t>
  </si>
  <si>
    <t>ALCALDÍA MUNICIPAL DE BELÉN</t>
  </si>
  <si>
    <t>CONSTRUCCIÓN CENTRO ADMINISTRATIVO MUNICIPAL DE BELÉN</t>
  </si>
  <si>
    <t>LA CERTIFICACIÓN DE DIRECTOR DE OBRA NO ES COHERENTE CON LA DURACIÓN DEL CONTRATO, SE CERTIFICA PERIODO COMO DIRECTOR POR UN AÑO PERO SE INDICA QUE LA DURACIÓN DEL CONTRATO ES DE NUEVE MESES, NO ES POSIBLE DETERMINAR QUE PERIODO NO LABORO COMO DIRECTOR DE OBRA, NO ANEXA ADICIONAL EN TIEMPO DEL CONTRATO INICIAL,</t>
  </si>
  <si>
    <t>CARLOS ALBERTO CAICEDO</t>
  </si>
  <si>
    <t>GENNY MAGALY BARCO</t>
  </si>
  <si>
    <t>DEMOLICIÓN TOTAL DE CONSTRUCCIÓN EXISTENTE Y CONSTRUCCIÓN DE RESIDENCIAS DE CUATRO PISOS</t>
  </si>
  <si>
    <t>MUNICIPIO DE SANDONA</t>
  </si>
  <si>
    <t>CONSTRUCCIÓN DE DOS AULAS EN LA INSTITUCIÓN EDUCATIVA SAGRADO CORAZÓN DE JESÚS MUNICIPIO DE SANDONA</t>
  </si>
  <si>
    <t>MUNICIPIO DE POLICARPA</t>
  </si>
  <si>
    <t>CONSTRUCCIÓN DE TRES AULAS PARA LA INSTITUCIÓN EDUCATIVA MADRIGAL SAN FRANCISCO DE ASIS Y TRES AULAS PARA LA INSTITUCIÓN EDUCATIVA,,,,</t>
  </si>
  <si>
    <t>MUNICIPIO DE COLON PUTUMAYO</t>
  </si>
  <si>
    <t>CONSTRUCCIÓN DE 9 AULAS ESCOLARES, BATERÍA SANITARIA Y CANCHA MULTIFUNCIONAL ….</t>
  </si>
  <si>
    <t>MUNICIPIO DE SIBUNDOY</t>
  </si>
  <si>
    <t>CONSTRUCCIÓN DE NUEVE AULAS, BLOQUE DE LABORATORIO BATERÍA SANITARIA SALÓN MÚLTIPLE …..</t>
  </si>
  <si>
    <t>001 DE 2012</t>
  </si>
  <si>
    <t>MUNICIPIO DE SAN BERNARDO - NARIÑO</t>
  </si>
  <si>
    <t>CONSTRUCCIÓN DE INFRAESTRUCTURA EDUCATIVA PARA LA INSTITUCIÓN JOSÉ ANTONIO GALÁN ….</t>
  </si>
  <si>
    <t>NO ANEXA CONTRATOS ADICIONALES EN TIEMPO POR TANTO SOLO SE CERTIFICA LA VIGENCIA DE CONTRATO INICIAL DE 7 MESES, SE TIENE EN CUENTA FECHAS DE SUSPENSIONES Y REINICIOS SOLO ES VALIDO DEL 28 DE ENERO DE 2013 AL 14 DE MARZO DE 2013</t>
  </si>
  <si>
    <t>FONDO ROTATORIO DE LA POLICÍA</t>
  </si>
  <si>
    <t>CONSTRUCCIÓN DE LA ESTACIÓN DE POLICÍA DEL MUNICIPIO DE GUAITARILLA</t>
  </si>
  <si>
    <t>MUNICIPIO DE CONTADERO</t>
  </si>
  <si>
    <t>CONSTRUCCIÓN CASA DE LA CULTURA Y PRIMERA ETAPA DEL CENTRO DE VIDA DEL ADULTO MAYOR ,,,,</t>
  </si>
  <si>
    <t>NO ANEXA CONTRATOS ADICIONALES EN TIEMPO POR TANTO SOLO SE CERTIFICA LA VIGENCIA DE CONTRATO INICIAL DE 4 MESES, SE TIENE EN CUENTA FECHAS DE SUSPENSIONES Y REINICIOS SOLO ES VALIDO DEL 1 DE FEBRERO DE 2016 AL 23 DE FEBRERO DE 2016</t>
  </si>
  <si>
    <t>LP 006 DE 2015</t>
  </si>
  <si>
    <t>CONSTRUCCIÓN SEDE DEL CENTRO ADMINISTRATIVO DE LA ORGANIZACIÓN INDÍGENA CAMAWARI ……</t>
  </si>
  <si>
    <t>NO ANEXA CONTRATOS ADICIONALES EN TIEMPO POR TANTO SOLO SE CERTIFICA LA VIGENCIA DE CONTRATO INICIAL DE 9 DÍAS, SE TIENE EN CUENTA FECHAS DE SUSPENSIONES Y REINICIOS SOLO ES VALIDO DEL 22 DE DICIEMBRE DE 2015 AL 31 DE DICIEMBRE DE 2015</t>
  </si>
  <si>
    <t>CD-006-2017</t>
  </si>
  <si>
    <t>ALCALDÍA MUNICIPAL DE ISCUANDE</t>
  </si>
  <si>
    <t>CONSTRUCCIÓN Y MEJORAMIENTO DE CENTROS EDUCATIVOS EN LAS VEREDAS LA FRAGUA, LA CEJA Y CHONTADURO Y REHABILITACIÓN DEL CENTRO….</t>
  </si>
  <si>
    <t>S/N 25 DE OCTUBRE DE 2007</t>
  </si>
  <si>
    <t>NO CUMPLE CERTIFICACIÓN COMO CONTRATISTA DE OBRA NI COMO DIRECTOR DE OBRA, CERTIFICACIÓN EXPEDIDA POR PERSONA DE DERECHO PRIVADO, COMO CONSTRUCTOR RESPONSABLE, NO ANEXA ACTA DE RECIBO FINAL O LIQUIDACION</t>
  </si>
  <si>
    <t>S/N 17 DE FEBRERO DE 2010</t>
  </si>
  <si>
    <t>CONSTRUVIAS E.U</t>
  </si>
  <si>
    <t>LP0012010</t>
  </si>
  <si>
    <t>318 HASTA 320</t>
  </si>
  <si>
    <t>U.T AMECON</t>
  </si>
  <si>
    <t>340 HASTA 344</t>
  </si>
  <si>
    <t>CONSORCIO CONSTRUCORES 2012</t>
  </si>
  <si>
    <t>351 HASTA 360</t>
  </si>
  <si>
    <t>UNION TEMPORAL INGEOBRAS</t>
  </si>
  <si>
    <t>082-3-2015</t>
  </si>
  <si>
    <t>392 HASTA 400</t>
  </si>
  <si>
    <t>419 HASTA 421</t>
  </si>
  <si>
    <t>424 HASTA 429</t>
  </si>
  <si>
    <t>GYH DISEÑO Y CONSTRUCCION</t>
  </si>
  <si>
    <t>464 HASTA 467</t>
  </si>
  <si>
    <t>S/N JUNIO 27 DE 2005</t>
  </si>
  <si>
    <t>CONSORCIO ARTISTA Y CASTILLO</t>
  </si>
  <si>
    <t>479 HASTA 481</t>
  </si>
  <si>
    <t>CONSTRUCCION CUATRO AULAS Y UNIDAD SANITARIA EN LA I.E.M. LUIS EDUARDO MORA</t>
  </si>
  <si>
    <t>LAS FECHAS DEL ACTA FINAL NO COINCIDEN CON LA DE LA CERTIFICACION</t>
  </si>
  <si>
    <t>CONSTRUCCION DEL AREA DE ANALISIS</t>
  </si>
  <si>
    <t>INSTITUTO DEPARTAMENTAL DE NARIÑO</t>
  </si>
  <si>
    <t>MUNICIPIO DE GUAITARILLA</t>
  </si>
  <si>
    <t>CONSTRUCCION RESTAURANTE ESCOLAR I.E. NTRA SRA DE LAS NIEVES</t>
  </si>
  <si>
    <t>NO TIENE CERTIFICACION</t>
  </si>
  <si>
    <t>LP008 2015</t>
  </si>
  <si>
    <t>469 DE 2016</t>
  </si>
  <si>
    <t>MUNICIPIO DE IPIALES</t>
  </si>
  <si>
    <t>MANTENIMIENTO DE INSTALACIONES DE LA INSTITUCION EDUCATIVA PUENES</t>
  </si>
  <si>
    <t>175-178</t>
  </si>
  <si>
    <t>172 - 173</t>
  </si>
  <si>
    <t>168-171</t>
  </si>
  <si>
    <t>ALVARO ARCINIEGAS ZAMBRANO</t>
  </si>
  <si>
    <t>CONSTRUCCION DE EDIFICIO MULTIFAMILIAR CHAPAL</t>
  </si>
  <si>
    <t>160 HASTA 166</t>
  </si>
  <si>
    <t>NO CUMPLE SOLO CERTIFICA 21.6 MESES COMO DIRECTOR DE OBRA</t>
  </si>
  <si>
    <t>NO CUMPLE, NO CERTIFICA EXPERIENCIA DE DIRECTOR DE OBRA</t>
  </si>
  <si>
    <t>DIRECTOR DE OBRA: ANDRES RICARDO MORA</t>
  </si>
  <si>
    <t>NO CUMPLE, CERTIFICA 35.36 MESES COMO DIRECTOR DE OBRA</t>
  </si>
  <si>
    <t>NO CUMPLE, CERTIFICA 34.42 MESE COMO DIRECTOR DE OBRA</t>
  </si>
  <si>
    <t>CONSORCIO UDENAR FACEA 2019, SE CONSIDERA NO ADMISIBLE POR NO CUMPLIR PUNTAJE MINIMO LITERAL 14.3 CAPACIDAD DE ORGANIZACIÓN.</t>
  </si>
  <si>
    <t>CONSORCIO EDUCAR 2019, SE CONSIDERA NO ADMISIBLE POR NO CUMPLIR PUNTAJE MINIMO LITERAL 14.3 CAPACIDAD DE ORGANIZACIÓN.</t>
  </si>
  <si>
    <t>CONSORCIO CP- UNIVERSIDAD DE NARIÑO, SE CONSIDERA NO ADMISIBLE POR NO CUMPLIR PUNTAJE MINIMO LITERAL 14.3 CAPACIDAD DE ORGANIZACIÓN.</t>
  </si>
  <si>
    <t>CONSORCIO JRL, SE CONSIDERA NO ADMISIBLE POR NO CUMPLIR PUNTAJE MINIMO LITERAL 14.3 CAPACIDAD DE ORGANIZACIÓN.</t>
  </si>
  <si>
    <t>CONSORCIO UNI-INGENIEROS FACEA 2019, SE CONSIDERA NO ADMISIBLE POR NO CUMPLIR PUNTAJE MINIMO LITERAL 14.3 CAPACIDAD DE ORGANIZACIÓN.</t>
  </si>
  <si>
    <t>CONSORCIO GHR. SE CONSIDERA NO ADMISIBLE POR NO CUMPLIR PUNTAJE MINIMO LITERAL 14.3 CAPACIDAD DE ORGANIZACIÓN.</t>
  </si>
  <si>
    <t>CONSORCIO FACEA UDENAR, SE CONSIDERA NO ADMISIBLE POR NO CUMPLIR PUNTAJE MINIMO LITERAL 14.3 CAPACIDAD DE ORGANIZACIÓN.</t>
  </si>
  <si>
    <t>NO CUMPLE, CERTIFICA 32.90 MESES COMO DIRECTOR DE OBRA</t>
  </si>
  <si>
    <t>RUBY CRIOLLO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</si>
</sst>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8">
    <numFmt numFmtId="42" formatCode="_-&quot;$&quot;\ * #,##0_-;\-&quot;$&quot;\ * #,##0_-;_-&quot;$&quot;\ * &quot;-&quot;_-;_-@_-"/>
    <numFmt numFmtId="41" formatCode="_-* #,##0_-;\-* #,##0_-;_-* &quot;-&quot;_-;_-@_-"/>
    <numFmt numFmtId="43" formatCode="_-* #,##0.00_-;\-* #,##0.00_-;_-* &quot;-&quot;??_-;_-@_-"/>
    <numFmt numFmtId="164" formatCode="_(&quot;$&quot;\ * #,##0.00_);_(&quot;$&quot;\ * \(#,##0.00\);_(&quot;$&quot;\ * &quot;-&quot;??_);_(@_)"/>
    <numFmt numFmtId="165" formatCode="_(* #,##0.00_);_(* \(#,##0.00\);_(* &quot;-&quot;??_);_(@_)"/>
    <numFmt numFmtId="166" formatCode="_-* #,##0\ _€_-;\-* #,##0\ _€_-;_-* &quot;-&quot;\ _€_-;_-@_-"/>
    <numFmt numFmtId="167" formatCode="_-* #,##0.00\ _€_-;\-* #,##0.00\ _€_-;_-* &quot;-&quot;??\ _€_-;_-@_-"/>
    <numFmt numFmtId="168" formatCode="_-* #,##0.00\ &quot;pta&quot;_-;\-* #,##0.00\ &quot;pta&quot;_-;_-* &quot;-&quot;??\ &quot;pta&quot;_-;_-@_-"/>
    <numFmt numFmtId="169" formatCode="###,###\ "/>
    <numFmt numFmtId="170" formatCode="_([$$-240A]\ * #,##0.00_);_([$$-240A]\ * \(#,##0.00\);_([$$-240A]\ * &quot;-&quot;??_);_(@_)"/>
    <numFmt numFmtId="171" formatCode="&quot;$&quot;\ #,##0.00"/>
    <numFmt numFmtId="172" formatCode="0.000"/>
    <numFmt numFmtId="173" formatCode="0.000%"/>
    <numFmt numFmtId="174" formatCode="&quot;$ &quot;#,##0"/>
    <numFmt numFmtId="175" formatCode="_-* #,##0.00\ _p_t_a_-;\-* #,##0.00\ _p_t_a_-;_-* &quot;-&quot;??\ _p_t_a_-;_-@_-"/>
    <numFmt numFmtId="176" formatCode="&quot;$ &quot;#,##0.0"/>
    <numFmt numFmtId="177" formatCode="&quot;$ &quot;#,##0.00"/>
    <numFmt numFmtId="178" formatCode="_-* #,##0.00\ _$_-;\-* #,##0.00\ _$_-;_-* &quot;-&quot;??\ _$_-;_-@_-"/>
    <numFmt numFmtId="179" formatCode="_-* #,##0\ _$_-;\-* #,##0\ _$_-;_-* &quot;-&quot;??\ _$_-;_-@_-"/>
    <numFmt numFmtId="180" formatCode="_(* #,##0_);_(* \(#,##0\);_(* &quot;-&quot;??_);_(@_)"/>
    <numFmt numFmtId="181" formatCode="0.0000"/>
    <numFmt numFmtId="182" formatCode="_-* #,##0.00000&quot; &quot;_€_-;\-* #,##0.00000&quot; &quot;_€_-;_-* &quot;-&quot;??&quot; &quot;_€_-;_-@_-"/>
    <numFmt numFmtId="183" formatCode="0.00000"/>
    <numFmt numFmtId="184" formatCode="_-* #,##0.00_-;\-* #,##0.00_-;_-* &quot;-&quot;_-;_-@_-"/>
    <numFmt numFmtId="185" formatCode="_-* #,##0.0000&quot; &quot;_€_-;\-* #,##0.0000&quot; &quot;_€_-;_-* &quot;-&quot;??&quot; &quot;_€_-;_-@_-"/>
    <numFmt numFmtId="186" formatCode="_-* #,##0.00&quot; &quot;_€_-;\-* #,##0.00&quot; &quot;_€_-;_-* &quot;-&quot;??&quot; &quot;_€_-;_-@_-"/>
    <numFmt numFmtId="187" formatCode="_(* #,##0.0000_);_(* \(#,##0.0000\);_(* &quot;-&quot;??_);_(@_)"/>
    <numFmt numFmtId="188" formatCode="_-* #,##0.0000_-;\-* #,##0.0000_-;_-* &quot;-&quot;????_-;_-@_-"/>
  </numFmts>
  <fonts count="61" x14ac:knownFonts="1">
    <font>
      <sz val="11"/>
      <color theme="1"/>
      <name val="Calibri"/>
      <family val="2"/>
      <scheme val="minor"/>
    </font>
    <font>
      <sz val="10"/>
      <name val="Arial"/>
      <family val="2"/>
    </font>
    <font>
      <b/>
      <sz val="10"/>
      <name val="Arial"/>
      <family val="2"/>
    </font>
    <font>
      <sz val="9"/>
      <name val="Arial"/>
      <family val="2"/>
    </font>
    <font>
      <sz val="8"/>
      <name val="Arial"/>
      <family val="2"/>
    </font>
    <font>
      <sz val="12"/>
      <name val="Arial"/>
      <family val="2"/>
    </font>
    <font>
      <b/>
      <sz val="12"/>
      <name val="Arial"/>
      <family val="2"/>
    </font>
    <font>
      <i/>
      <sz val="13"/>
      <name val="Arial"/>
      <family val="2"/>
    </font>
    <font>
      <sz val="13"/>
      <name val="Arial"/>
      <family val="2"/>
    </font>
    <font>
      <b/>
      <sz val="9"/>
      <name val="Arial"/>
      <family val="2"/>
    </font>
    <font>
      <b/>
      <i/>
      <sz val="11"/>
      <name val="Arial"/>
      <family val="2"/>
    </font>
    <font>
      <b/>
      <sz val="11"/>
      <name val="Arial"/>
      <family val="2"/>
    </font>
    <font>
      <sz val="11"/>
      <name val="Arial"/>
      <family val="2"/>
    </font>
    <font>
      <b/>
      <i/>
      <sz val="10"/>
      <color indexed="10"/>
      <name val="Arial"/>
      <family val="2"/>
    </font>
    <font>
      <sz val="1"/>
      <name val="Arial"/>
      <family val="2"/>
    </font>
    <font>
      <sz val="5"/>
      <color indexed="10"/>
      <name val="Arial"/>
      <family val="2"/>
    </font>
    <font>
      <b/>
      <i/>
      <sz val="10"/>
      <name val="Arial"/>
      <family val="2"/>
    </font>
    <font>
      <b/>
      <i/>
      <sz val="1"/>
      <name val="Arial"/>
      <family val="2"/>
    </font>
    <font>
      <b/>
      <sz val="10"/>
      <color indexed="81"/>
      <name val="Tahoma"/>
      <family val="2"/>
    </font>
    <font>
      <sz val="10"/>
      <color indexed="81"/>
      <name val="Tahoma"/>
      <family val="2"/>
    </font>
    <font>
      <sz val="11"/>
      <color theme="1"/>
      <name val="Calibri"/>
      <family val="2"/>
      <scheme val="minor"/>
    </font>
    <font>
      <sz val="10"/>
      <color rgb="FFFF0000"/>
      <name val="Arial"/>
      <family val="2"/>
    </font>
    <font>
      <sz val="13"/>
      <color rgb="FFFF0000"/>
      <name val="Arial"/>
      <family val="2"/>
    </font>
    <font>
      <sz val="12"/>
      <color theme="1"/>
      <name val="Arial"/>
      <family val="2"/>
    </font>
    <font>
      <b/>
      <sz val="16"/>
      <color theme="1"/>
      <name val="Calibri"/>
      <family val="2"/>
      <scheme val="minor"/>
    </font>
    <font>
      <b/>
      <sz val="20"/>
      <color theme="1"/>
      <name val="Calibri"/>
      <family val="2"/>
      <scheme val="minor"/>
    </font>
    <font>
      <b/>
      <sz val="10"/>
      <name val="Arial Narrow"/>
      <family val="2"/>
    </font>
    <font>
      <b/>
      <sz val="10"/>
      <color indexed="10"/>
      <name val="Arial Narrow"/>
      <family val="2"/>
    </font>
    <font>
      <b/>
      <sz val="11"/>
      <name val="Arial Narrow"/>
      <family val="2"/>
    </font>
    <font>
      <b/>
      <sz val="11"/>
      <color indexed="8"/>
      <name val="Arial Narrow"/>
      <family val="2"/>
    </font>
    <font>
      <b/>
      <sz val="12"/>
      <name val="Arial Narrow"/>
      <family val="2"/>
    </font>
    <font>
      <b/>
      <sz val="12"/>
      <color indexed="19"/>
      <name val="Arial Narrow"/>
      <family val="2"/>
    </font>
    <font>
      <sz val="9"/>
      <color indexed="8"/>
      <name val="Arial"/>
      <family val="2"/>
    </font>
    <font>
      <b/>
      <sz val="9"/>
      <color indexed="8"/>
      <name val="Arial Narrow"/>
      <family val="2"/>
    </font>
    <font>
      <sz val="11"/>
      <color rgb="FFFF0000"/>
      <name val="Arial"/>
      <family val="2"/>
    </font>
    <font>
      <sz val="8"/>
      <color theme="1"/>
      <name val="Calibri"/>
      <family val="2"/>
      <scheme val="minor"/>
    </font>
    <font>
      <sz val="8"/>
      <color rgb="FFFF0000"/>
      <name val="Calibri"/>
      <family val="2"/>
      <scheme val="minor"/>
    </font>
    <font>
      <sz val="7"/>
      <name val="Arial"/>
      <family val="2"/>
    </font>
    <font>
      <b/>
      <sz val="7"/>
      <name val="Arial"/>
      <family val="2"/>
    </font>
    <font>
      <sz val="7"/>
      <color theme="1"/>
      <name val="Calibri"/>
      <family val="2"/>
      <scheme val="minor"/>
    </font>
    <font>
      <sz val="11"/>
      <name val="Calibri"/>
      <family val="2"/>
      <scheme val="minor"/>
    </font>
    <font>
      <b/>
      <sz val="11"/>
      <color theme="1"/>
      <name val="Calibri"/>
      <family val="2"/>
      <scheme val="minor"/>
    </font>
    <font>
      <sz val="14"/>
      <name val="Calibri"/>
      <family val="2"/>
      <scheme val="minor"/>
    </font>
    <font>
      <sz val="9"/>
      <color theme="1"/>
      <name val="Calibri"/>
      <family val="2"/>
      <scheme val="minor"/>
    </font>
    <font>
      <sz val="9"/>
      <name val="Calibri"/>
      <family val="2"/>
      <scheme val="minor"/>
    </font>
    <font>
      <sz val="9"/>
      <color rgb="FFFF0000"/>
      <name val="Calibri"/>
      <family val="2"/>
      <scheme val="minor"/>
    </font>
    <font>
      <b/>
      <sz val="9"/>
      <color theme="1"/>
      <name val="Calibri"/>
      <family val="2"/>
      <scheme val="minor"/>
    </font>
    <font>
      <b/>
      <sz val="11"/>
      <color theme="1"/>
      <name val="Arial"/>
      <family val="2"/>
    </font>
    <font>
      <b/>
      <sz val="8"/>
      <name val="Arial"/>
      <family val="2"/>
    </font>
    <font>
      <sz val="10"/>
      <color theme="0"/>
      <name val="Arial"/>
      <family val="2"/>
    </font>
    <font>
      <b/>
      <sz val="9"/>
      <name val="Calibri"/>
      <family val="2"/>
      <scheme val="minor"/>
    </font>
    <font>
      <sz val="11"/>
      <color theme="0"/>
      <name val="Calibri"/>
      <family val="2"/>
      <scheme val="minor"/>
    </font>
    <font>
      <b/>
      <sz val="10"/>
      <color theme="0"/>
      <name val="Arial"/>
      <family val="2"/>
    </font>
    <font>
      <b/>
      <sz val="11"/>
      <color rgb="FFFF0000"/>
      <name val="Calibri"/>
      <family val="2"/>
      <scheme val="minor"/>
    </font>
    <font>
      <b/>
      <sz val="10"/>
      <color theme="1"/>
      <name val="Calibri"/>
      <family val="2"/>
      <scheme val="minor"/>
    </font>
    <font>
      <sz val="11"/>
      <color rgb="FFFF0000"/>
      <name val="Calibri"/>
      <family val="2"/>
      <scheme val="minor"/>
    </font>
    <font>
      <b/>
      <sz val="9"/>
      <color rgb="FFFF0000"/>
      <name val="Calibri"/>
      <family val="2"/>
      <scheme val="minor"/>
    </font>
    <font>
      <b/>
      <sz val="13"/>
      <name val="Arial"/>
      <family val="2"/>
    </font>
    <font>
      <b/>
      <sz val="9"/>
      <color rgb="FFFF0000"/>
      <name val="Arial"/>
      <family val="2"/>
    </font>
    <font>
      <sz val="10"/>
      <color theme="1"/>
      <name val="Calibri"/>
      <family val="2"/>
      <scheme val="minor"/>
    </font>
    <font>
      <sz val="20"/>
      <color theme="1"/>
      <name val="Calibri"/>
      <family val="2"/>
      <scheme val="minor"/>
    </font>
  </fonts>
  <fills count="15">
    <fill>
      <patternFill patternType="none"/>
    </fill>
    <fill>
      <patternFill patternType="gray125"/>
    </fill>
    <fill>
      <patternFill patternType="lightGray">
        <fgColor indexed="13"/>
        <bgColor indexed="9"/>
      </patternFill>
    </fill>
    <fill>
      <patternFill patternType="solid">
        <fgColor rgb="FFFFFF00"/>
        <bgColor indexed="64"/>
      </patternFill>
    </fill>
    <fill>
      <patternFill patternType="solid">
        <fgColor rgb="FFFFFFA0"/>
        <bgColor indexed="64"/>
      </patternFill>
    </fill>
    <fill>
      <patternFill patternType="solid">
        <fgColor rgb="FFFFFF99"/>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rgb="FFCCFFFF"/>
        <bgColor indexed="64"/>
      </patternFill>
    </fill>
    <fill>
      <patternFill patternType="solid">
        <fgColor theme="9" tint="0.59999389629810485"/>
        <bgColor indexed="64"/>
      </patternFill>
    </fill>
    <fill>
      <patternFill patternType="solid">
        <fgColor rgb="FFFFFFCC"/>
        <bgColor indexed="64"/>
      </patternFill>
    </fill>
    <fill>
      <patternFill patternType="solid">
        <fgColor theme="0"/>
        <bgColor indexed="64"/>
      </patternFill>
    </fill>
    <fill>
      <patternFill patternType="solid">
        <fgColor theme="3" tint="0.79998168889431442"/>
        <bgColor indexed="64"/>
      </patternFill>
    </fill>
    <fill>
      <patternFill patternType="solid">
        <fgColor rgb="FF92D050"/>
        <bgColor indexed="64"/>
      </patternFill>
    </fill>
  </fills>
  <borders count="8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medium">
        <color auto="1"/>
      </left>
      <right/>
      <top style="medium">
        <color auto="1"/>
      </top>
      <bottom style="thin">
        <color rgb="FFC0C0C0"/>
      </bottom>
      <diagonal/>
    </border>
    <border>
      <left style="medium">
        <color auto="1"/>
      </left>
      <right/>
      <top style="thin">
        <color rgb="FFC0C0C0"/>
      </top>
      <bottom style="thin">
        <color rgb="FFC0C0C0"/>
      </bottom>
      <diagonal/>
    </border>
    <border>
      <left style="medium">
        <color auto="1"/>
      </left>
      <right/>
      <top style="thin">
        <color rgb="FFC0C0C0"/>
      </top>
      <bottom style="medium">
        <color auto="1"/>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style="medium">
        <color auto="1"/>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style="thin">
        <color auto="1"/>
      </top>
      <bottom style="medium">
        <color auto="1"/>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medium">
        <color auto="1"/>
      </left>
      <right style="medium">
        <color auto="1"/>
      </right>
      <top style="thin">
        <color auto="1"/>
      </top>
      <bottom/>
      <diagonal/>
    </border>
    <border>
      <left style="thin">
        <color indexed="64"/>
      </left>
      <right style="medium">
        <color indexed="64"/>
      </right>
      <top style="thin">
        <color indexed="64"/>
      </top>
      <bottom/>
      <diagonal/>
    </border>
    <border>
      <left/>
      <right style="medium">
        <color auto="1"/>
      </right>
      <top style="thin">
        <color auto="1"/>
      </top>
      <bottom/>
      <diagonal/>
    </border>
    <border>
      <left style="thin">
        <color indexed="64"/>
      </left>
      <right style="thin">
        <color indexed="64"/>
      </right>
      <top/>
      <bottom style="medium">
        <color indexed="64"/>
      </bottom>
      <diagonal/>
    </border>
    <border>
      <left style="medium">
        <color auto="1"/>
      </left>
      <right/>
      <top/>
      <bottom style="thin">
        <color auto="1"/>
      </bottom>
      <diagonal/>
    </border>
    <border>
      <left style="medium">
        <color auto="1"/>
      </left>
      <right/>
      <top style="thin">
        <color auto="1"/>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s>
  <cellStyleXfs count="13">
    <xf numFmtId="0" fontId="0" fillId="0" borderId="0"/>
    <xf numFmtId="165" fontId="20" fillId="0" borderId="0" applyFont="0" applyFill="0" applyBorder="0" applyAlignment="0" applyProtection="0"/>
    <xf numFmtId="167" fontId="1" fillId="0" borderId="0" applyFont="0" applyFill="0" applyBorder="0" applyAlignment="0" applyProtection="0"/>
    <xf numFmtId="168" fontId="1" fillId="0" borderId="0" applyFont="0" applyFill="0" applyBorder="0" applyAlignment="0" applyProtection="0"/>
    <xf numFmtId="164" fontId="20" fillId="0" borderId="0" applyFont="0" applyFill="0" applyBorder="0" applyAlignment="0" applyProtection="0"/>
    <xf numFmtId="169" fontId="1" fillId="0" borderId="0" applyFont="0" applyFill="0" applyBorder="0" applyAlignment="0" applyProtection="0"/>
    <xf numFmtId="0" fontId="1" fillId="0" borderId="0"/>
    <xf numFmtId="9" fontId="1" fillId="0" borderId="0" applyFont="0" applyFill="0" applyBorder="0" applyAlignment="0" applyProtection="0"/>
    <xf numFmtId="0" fontId="20" fillId="0" borderId="0"/>
    <xf numFmtId="0" fontId="20" fillId="0" borderId="0"/>
    <xf numFmtId="9" fontId="20" fillId="0" borderId="0" applyFont="0" applyFill="0" applyBorder="0" applyAlignment="0" applyProtection="0"/>
    <xf numFmtId="41" fontId="20" fillId="0" borderId="0" applyFont="0" applyFill="0" applyBorder="0" applyAlignment="0" applyProtection="0"/>
    <xf numFmtId="42" fontId="20" fillId="0" borderId="0" applyFont="0" applyFill="0" applyBorder="0" applyAlignment="0" applyProtection="0"/>
  </cellStyleXfs>
  <cellXfs count="655">
    <xf numFmtId="0" fontId="0" fillId="0" borderId="0" xfId="0"/>
    <xf numFmtId="0" fontId="2" fillId="0" borderId="0" xfId="6" applyFont="1"/>
    <xf numFmtId="0" fontId="1" fillId="0" borderId="0" xfId="6"/>
    <xf numFmtId="0" fontId="1" fillId="0" borderId="0" xfId="6" applyFont="1"/>
    <xf numFmtId="0" fontId="0" fillId="0" borderId="0" xfId="0" applyBorder="1"/>
    <xf numFmtId="0" fontId="0" fillId="0" borderId="0" xfId="0" applyAlignment="1">
      <alignment vertical="center"/>
    </xf>
    <xf numFmtId="0" fontId="2" fillId="0" borderId="0" xfId="0" applyFont="1" applyAlignment="1"/>
    <xf numFmtId="0" fontId="2" fillId="0" borderId="0" xfId="0" applyFont="1"/>
    <xf numFmtId="1" fontId="7" fillId="0" borderId="4" xfId="0" applyNumberFormat="1" applyFont="1" applyBorder="1" applyAlignment="1">
      <alignment horizontal="center"/>
    </xf>
    <xf numFmtId="167" fontId="8" fillId="0" borderId="7" xfId="2" applyFont="1" applyBorder="1"/>
    <xf numFmtId="0" fontId="1" fillId="0" borderId="0" xfId="0" applyFont="1"/>
    <xf numFmtId="49" fontId="6" fillId="0" borderId="0" xfId="0" applyNumberFormat="1" applyFont="1" applyFill="1" applyBorder="1" applyAlignment="1">
      <alignment horizontal="left"/>
    </xf>
    <xf numFmtId="49" fontId="5" fillId="0" borderId="0" xfId="0" applyNumberFormat="1" applyFont="1" applyFill="1" applyBorder="1" applyAlignment="1">
      <alignment horizontal="left"/>
    </xf>
    <xf numFmtId="170" fontId="20" fillId="0" borderId="0" xfId="4" applyNumberFormat="1" applyFont="1"/>
    <xf numFmtId="0" fontId="3" fillId="0" borderId="0" xfId="6" applyFont="1"/>
    <xf numFmtId="0" fontId="5" fillId="0" borderId="0" xfId="0" applyFont="1" applyBorder="1"/>
    <xf numFmtId="0" fontId="1" fillId="0" borderId="0" xfId="6" applyAlignment="1">
      <alignment horizontal="center"/>
    </xf>
    <xf numFmtId="171" fontId="1" fillId="0" borderId="0" xfId="6" applyNumberFormat="1"/>
    <xf numFmtId="0" fontId="12" fillId="0" borderId="0" xfId="6" applyFont="1" applyAlignment="1">
      <alignment vertical="center"/>
    </xf>
    <xf numFmtId="0" fontId="4" fillId="0" borderId="0" xfId="0" applyFont="1"/>
    <xf numFmtId="0" fontId="5" fillId="0" borderId="23" xfId="0" applyFont="1" applyBorder="1"/>
    <xf numFmtId="171" fontId="5" fillId="0" borderId="0" xfId="0" applyNumberFormat="1" applyFont="1"/>
    <xf numFmtId="171" fontId="23" fillId="0" borderId="0" xfId="0" applyNumberFormat="1" applyFont="1"/>
    <xf numFmtId="0" fontId="3" fillId="0" borderId="0" xfId="0" applyFont="1" applyAlignment="1">
      <alignment horizontal="centerContinuous"/>
    </xf>
    <xf numFmtId="0" fontId="3" fillId="0" borderId="0" xfId="0" applyFont="1"/>
    <xf numFmtId="0" fontId="0" fillId="0" borderId="0" xfId="0" applyAlignment="1">
      <alignment horizontal="centerContinuous"/>
    </xf>
    <xf numFmtId="0" fontId="14" fillId="0" borderId="0" xfId="6" applyFont="1"/>
    <xf numFmtId="168" fontId="20" fillId="0" borderId="0" xfId="5" applyNumberFormat="1" applyFont="1"/>
    <xf numFmtId="173" fontId="1" fillId="0" borderId="0" xfId="6" applyNumberFormat="1"/>
    <xf numFmtId="174" fontId="1" fillId="2" borderId="0" xfId="6" applyNumberFormat="1" applyFill="1"/>
    <xf numFmtId="175" fontId="1" fillId="0" borderId="0" xfId="3" applyNumberFormat="1" applyFont="1" applyProtection="1">
      <protection hidden="1"/>
    </xf>
    <xf numFmtId="176" fontId="3" fillId="0" borderId="0" xfId="6" applyNumberFormat="1" applyFont="1"/>
    <xf numFmtId="0" fontId="1" fillId="0" borderId="0" xfId="6" applyFont="1" applyAlignment="1">
      <alignment horizontal="left" indent="1"/>
    </xf>
    <xf numFmtId="175" fontId="1" fillId="0" borderId="0" xfId="3" applyNumberFormat="1" applyFont="1"/>
    <xf numFmtId="0" fontId="1" fillId="0" borderId="27" xfId="6" applyBorder="1" applyAlignment="1">
      <alignment horizontal="center" vertical="top" wrapText="1"/>
    </xf>
    <xf numFmtId="0" fontId="1" fillId="0" borderId="28" xfId="6" applyBorder="1" applyAlignment="1">
      <alignment horizontal="center" vertical="top" wrapText="1"/>
    </xf>
    <xf numFmtId="0" fontId="15" fillId="0" borderId="28" xfId="6" applyFont="1" applyBorder="1" applyAlignment="1">
      <alignment horizontal="center" vertical="top" wrapText="1"/>
    </xf>
    <xf numFmtId="0" fontId="3" fillId="0" borderId="0" xfId="6" applyFont="1" applyAlignment="1">
      <alignment horizontal="center" vertical="top" wrapText="1"/>
    </xf>
    <xf numFmtId="0" fontId="1" fillId="0" borderId="0" xfId="6" applyAlignment="1">
      <alignment vertical="top"/>
    </xf>
    <xf numFmtId="0" fontId="1" fillId="0" borderId="29" xfId="6" applyBorder="1"/>
    <xf numFmtId="0" fontId="1" fillId="0" borderId="30" xfId="6" applyBorder="1"/>
    <xf numFmtId="0" fontId="14" fillId="0" borderId="30" xfId="6" applyFont="1" applyBorder="1"/>
    <xf numFmtId="177" fontId="1" fillId="2" borderId="30" xfId="6" applyNumberFormat="1" applyFill="1" applyBorder="1"/>
    <xf numFmtId="174" fontId="1" fillId="0" borderId="30" xfId="6" applyNumberFormat="1" applyBorder="1"/>
    <xf numFmtId="11" fontId="1" fillId="0" borderId="30" xfId="6" applyNumberFormat="1" applyBorder="1"/>
    <xf numFmtId="172" fontId="1" fillId="0" borderId="0" xfId="6" applyNumberFormat="1"/>
    <xf numFmtId="174" fontId="1" fillId="0" borderId="0" xfId="6" applyNumberFormat="1"/>
    <xf numFmtId="176" fontId="1" fillId="2" borderId="30" xfId="6" applyNumberFormat="1" applyFill="1" applyBorder="1"/>
    <xf numFmtId="0" fontId="1" fillId="0" borderId="32" xfId="6" applyBorder="1"/>
    <xf numFmtId="0" fontId="16" fillId="0" borderId="33" xfId="6" applyFont="1" applyBorder="1"/>
    <xf numFmtId="0" fontId="17" fillId="0" borderId="33" xfId="6" applyFont="1" applyBorder="1"/>
    <xf numFmtId="11" fontId="16" fillId="0" borderId="33" xfId="6" applyNumberFormat="1" applyFont="1" applyBorder="1"/>
    <xf numFmtId="172" fontId="13" fillId="0" borderId="34" xfId="6" applyNumberFormat="1" applyFont="1" applyBorder="1"/>
    <xf numFmtId="11" fontId="1" fillId="0" borderId="0" xfId="6" applyNumberFormat="1"/>
    <xf numFmtId="0" fontId="1" fillId="0" borderId="8" xfId="6" applyBorder="1"/>
    <xf numFmtId="0" fontId="21" fillId="0" borderId="28" xfId="6" applyFont="1" applyBorder="1" applyAlignment="1">
      <alignment horizontal="center" vertical="top" wrapText="1"/>
    </xf>
    <xf numFmtId="0" fontId="1" fillId="0" borderId="41" xfId="6" applyBorder="1" applyAlignment="1">
      <alignment horizontal="center" vertical="top" wrapText="1"/>
    </xf>
    <xf numFmtId="0" fontId="0" fillId="0" borderId="0" xfId="0" applyAlignment="1">
      <alignment wrapText="1"/>
    </xf>
    <xf numFmtId="0" fontId="10" fillId="0" borderId="0" xfId="0" applyFont="1" applyAlignment="1">
      <alignment horizontal="centerContinuous"/>
    </xf>
    <xf numFmtId="0" fontId="0" fillId="0" borderId="0" xfId="0" applyAlignment="1">
      <alignment horizontal="centerContinuous" wrapText="1"/>
    </xf>
    <xf numFmtId="167" fontId="0" fillId="0" borderId="0" xfId="2" applyFont="1" applyAlignment="1">
      <alignment wrapText="1"/>
    </xf>
    <xf numFmtId="0" fontId="26" fillId="0" borderId="0" xfId="8" applyNumberFormat="1" applyFont="1" applyFill="1" applyBorder="1" applyAlignment="1" applyProtection="1"/>
    <xf numFmtId="0" fontId="27" fillId="0" borderId="0" xfId="8" applyNumberFormat="1" applyFont="1" applyFill="1" applyBorder="1" applyAlignment="1" applyProtection="1">
      <alignment wrapText="1"/>
    </xf>
    <xf numFmtId="0" fontId="27" fillId="0" borderId="0" xfId="8" applyNumberFormat="1" applyFont="1" applyFill="1" applyBorder="1" applyAlignment="1" applyProtection="1"/>
    <xf numFmtId="0" fontId="27" fillId="0" borderId="0" xfId="8" applyNumberFormat="1" applyFont="1" applyFill="1" applyBorder="1" applyAlignment="1" applyProtection="1">
      <alignment horizontal="center"/>
    </xf>
    <xf numFmtId="0" fontId="28" fillId="0" borderId="0" xfId="8" applyNumberFormat="1" applyFont="1" applyFill="1" applyBorder="1" applyAlignment="1" applyProtection="1"/>
    <xf numFmtId="0" fontId="29" fillId="0" borderId="0" xfId="8" applyNumberFormat="1" applyFont="1" applyFill="1" applyBorder="1" applyAlignment="1" applyProtection="1">
      <alignment wrapText="1"/>
    </xf>
    <xf numFmtId="0" fontId="29" fillId="0" borderId="0" xfId="8" applyNumberFormat="1" applyFont="1" applyFill="1" applyBorder="1" applyAlignment="1" applyProtection="1"/>
    <xf numFmtId="0" fontId="29" fillId="0" borderId="0" xfId="8" applyNumberFormat="1" applyFont="1" applyFill="1" applyBorder="1" applyAlignment="1" applyProtection="1">
      <alignment horizontal="center"/>
    </xf>
    <xf numFmtId="0" fontId="30" fillId="0" borderId="0" xfId="8" applyNumberFormat="1" applyFont="1" applyFill="1" applyBorder="1" applyAlignment="1" applyProtection="1"/>
    <xf numFmtId="0" fontId="31" fillId="0" borderId="0" xfId="8" applyNumberFormat="1" applyFont="1" applyFill="1" applyBorder="1" applyAlignment="1" applyProtection="1">
      <alignment wrapText="1"/>
    </xf>
    <xf numFmtId="0" fontId="31" fillId="0" borderId="0" xfId="8" applyNumberFormat="1" applyFont="1" applyFill="1" applyBorder="1" applyAlignment="1" applyProtection="1"/>
    <xf numFmtId="0" fontId="31" fillId="0" borderId="0" xfId="8" applyNumberFormat="1" applyFont="1" applyFill="1" applyBorder="1" applyAlignment="1" applyProtection="1">
      <alignment horizontal="center"/>
    </xf>
    <xf numFmtId="0" fontId="1" fillId="0" borderId="0" xfId="8" applyNumberFormat="1" applyFont="1" applyFill="1" applyBorder="1" applyAlignment="1" applyProtection="1"/>
    <xf numFmtId="0" fontId="1" fillId="0" borderId="0" xfId="8" applyNumberFormat="1" applyFont="1" applyFill="1" applyBorder="1" applyAlignment="1" applyProtection="1">
      <alignment wrapText="1"/>
    </xf>
    <xf numFmtId="0" fontId="0" fillId="0" borderId="0" xfId="8" applyNumberFormat="1" applyFont="1" applyFill="1" applyBorder="1" applyAlignment="1" applyProtection="1">
      <alignment horizontal="center"/>
    </xf>
    <xf numFmtId="0" fontId="0" fillId="0" borderId="0" xfId="8" applyNumberFormat="1" applyFont="1" applyFill="1" applyBorder="1" applyAlignment="1" applyProtection="1"/>
    <xf numFmtId="0" fontId="32" fillId="4" borderId="9" xfId="8" applyNumberFormat="1" applyFont="1" applyFill="1" applyBorder="1" applyAlignment="1" applyProtection="1">
      <alignment horizontal="center" wrapText="1"/>
    </xf>
    <xf numFmtId="0" fontId="29" fillId="4" borderId="47" xfId="8" applyNumberFormat="1" applyFont="1" applyFill="1" applyBorder="1" applyAlignment="1" applyProtection="1">
      <alignment horizontal="center" wrapText="1"/>
    </xf>
    <xf numFmtId="0" fontId="32" fillId="0" borderId="48" xfId="8" quotePrefix="1" applyNumberFormat="1" applyFont="1" applyFill="1" applyBorder="1" applyAlignment="1" applyProtection="1"/>
    <xf numFmtId="0" fontId="32" fillId="0" borderId="27" xfId="8" quotePrefix="1" applyNumberFormat="1" applyFont="1" applyFill="1" applyBorder="1" applyAlignment="1" applyProtection="1">
      <alignment wrapText="1"/>
    </xf>
    <xf numFmtId="0" fontId="32" fillId="0" borderId="28" xfId="8" quotePrefix="1" applyNumberFormat="1" applyFont="1" applyFill="1" applyBorder="1" applyAlignment="1" applyProtection="1"/>
    <xf numFmtId="178" fontId="32" fillId="0" borderId="28" xfId="1" applyNumberFormat="1" applyFont="1" applyFill="1" applyBorder="1" applyAlignment="1" applyProtection="1"/>
    <xf numFmtId="0" fontId="32" fillId="0" borderId="49" xfId="8" quotePrefix="1" applyNumberFormat="1" applyFont="1" applyFill="1" applyBorder="1" applyAlignment="1" applyProtection="1"/>
    <xf numFmtId="0" fontId="32" fillId="0" borderId="29" xfId="8" quotePrefix="1" applyNumberFormat="1" applyFont="1" applyFill="1" applyBorder="1" applyAlignment="1" applyProtection="1">
      <alignment wrapText="1"/>
    </xf>
    <xf numFmtId="0" fontId="32" fillId="0" borderId="30" xfId="8" quotePrefix="1" applyNumberFormat="1" applyFont="1" applyFill="1" applyBorder="1" applyAlignment="1" applyProtection="1"/>
    <xf numFmtId="178" fontId="32" fillId="0" borderId="30" xfId="1" applyNumberFormat="1" applyFont="1" applyFill="1" applyBorder="1" applyAlignment="1" applyProtection="1"/>
    <xf numFmtId="0" fontId="32" fillId="0" borderId="50" xfId="8" quotePrefix="1" applyNumberFormat="1" applyFont="1" applyFill="1" applyBorder="1" applyAlignment="1" applyProtection="1"/>
    <xf numFmtId="0" fontId="32" fillId="0" borderId="32" xfId="8" quotePrefix="1" applyNumberFormat="1" applyFont="1" applyFill="1" applyBorder="1" applyAlignment="1" applyProtection="1">
      <alignment wrapText="1"/>
    </xf>
    <xf numFmtId="0" fontId="32" fillId="0" borderId="33" xfId="8" quotePrefix="1" applyNumberFormat="1" applyFont="1" applyFill="1" applyBorder="1" applyAlignment="1" applyProtection="1"/>
    <xf numFmtId="178" fontId="32" fillId="0" borderId="33" xfId="1" applyNumberFormat="1" applyFont="1" applyFill="1" applyBorder="1" applyAlignment="1" applyProtection="1"/>
    <xf numFmtId="0" fontId="32" fillId="0" borderId="0" xfId="8" applyNumberFormat="1" applyFont="1" applyFill="1" applyBorder="1" applyAlignment="1" applyProtection="1"/>
    <xf numFmtId="0" fontId="32" fillId="0" borderId="0" xfId="8" applyNumberFormat="1" applyFont="1" applyFill="1" applyBorder="1" applyAlignment="1" applyProtection="1">
      <alignment wrapText="1"/>
    </xf>
    <xf numFmtId="0" fontId="32" fillId="0" borderId="0" xfId="8" applyNumberFormat="1" applyFont="1" applyFill="1" applyBorder="1" applyAlignment="1" applyProtection="1">
      <alignment horizontal="center"/>
    </xf>
    <xf numFmtId="3" fontId="32" fillId="3" borderId="10" xfId="8" applyNumberFormat="1" applyFont="1" applyFill="1" applyBorder="1" applyAlignment="1" applyProtection="1"/>
    <xf numFmtId="0" fontId="32" fillId="4" borderId="47" xfId="8" applyNumberFormat="1" applyFont="1" applyFill="1" applyBorder="1" applyAlignment="1" applyProtection="1"/>
    <xf numFmtId="0" fontId="29" fillId="5" borderId="51" xfId="8" applyNumberFormat="1" applyFont="1" applyFill="1" applyBorder="1" applyAlignment="1" applyProtection="1">
      <alignment wrapText="1"/>
    </xf>
    <xf numFmtId="0" fontId="33" fillId="5" borderId="52" xfId="8" applyNumberFormat="1" applyFont="1" applyFill="1" applyBorder="1" applyAlignment="1" applyProtection="1"/>
    <xf numFmtId="0" fontId="33" fillId="5" borderId="52" xfId="8" applyNumberFormat="1" applyFont="1" applyFill="1" applyBorder="1" applyAlignment="1" applyProtection="1">
      <alignment horizontal="center"/>
    </xf>
    <xf numFmtId="0" fontId="33" fillId="5" borderId="53" xfId="8" applyNumberFormat="1" applyFont="1" applyFill="1" applyBorder="1" applyAlignment="1" applyProtection="1"/>
    <xf numFmtId="0" fontId="32" fillId="0" borderId="27" xfId="8" quotePrefix="1" applyNumberFormat="1" applyFont="1" applyFill="1" applyBorder="1" applyAlignment="1" applyProtection="1"/>
    <xf numFmtId="0" fontId="32" fillId="0" borderId="28" xfId="8" quotePrefix="1" applyNumberFormat="1" applyFont="1" applyFill="1" applyBorder="1" applyAlignment="1" applyProtection="1">
      <alignment wrapText="1"/>
    </xf>
    <xf numFmtId="1" fontId="32" fillId="0" borderId="28" xfId="8" quotePrefix="1" applyNumberFormat="1" applyFont="1" applyFill="1" applyBorder="1" applyAlignment="1" applyProtection="1">
      <alignment horizontal="center"/>
    </xf>
    <xf numFmtId="178" fontId="32" fillId="0" borderId="28" xfId="1" quotePrefix="1" applyNumberFormat="1" applyFont="1" applyFill="1" applyBorder="1" applyAlignment="1" applyProtection="1"/>
    <xf numFmtId="178" fontId="32" fillId="0" borderId="41" xfId="1" quotePrefix="1" applyNumberFormat="1" applyFont="1" applyFill="1" applyBorder="1" applyAlignment="1" applyProtection="1"/>
    <xf numFmtId="0" fontId="32" fillId="0" borderId="29" xfId="8" quotePrefix="1" applyNumberFormat="1" applyFont="1" applyFill="1" applyBorder="1" applyAlignment="1" applyProtection="1"/>
    <xf numFmtId="0" fontId="32" fillId="0" borderId="30" xfId="8" quotePrefix="1" applyNumberFormat="1" applyFont="1" applyFill="1" applyBorder="1" applyAlignment="1" applyProtection="1">
      <alignment wrapText="1"/>
    </xf>
    <xf numFmtId="1" fontId="32" fillId="0" borderId="30" xfId="8" quotePrefix="1" applyNumberFormat="1" applyFont="1" applyFill="1" applyBorder="1" applyAlignment="1" applyProtection="1">
      <alignment horizontal="center"/>
    </xf>
    <xf numFmtId="178" fontId="32" fillId="0" borderId="30" xfId="1" quotePrefix="1" applyNumberFormat="1" applyFont="1" applyFill="1" applyBorder="1" applyAlignment="1" applyProtection="1"/>
    <xf numFmtId="178" fontId="32" fillId="0" borderId="31" xfId="1" quotePrefix="1" applyNumberFormat="1" applyFont="1" applyFill="1" applyBorder="1" applyAlignment="1" applyProtection="1"/>
    <xf numFmtId="0" fontId="32" fillId="0" borderId="32" xfId="8" quotePrefix="1" applyNumberFormat="1" applyFont="1" applyFill="1" applyBorder="1" applyAlignment="1" applyProtection="1"/>
    <xf numFmtId="0" fontId="32" fillId="0" borderId="33" xfId="8" quotePrefix="1" applyNumberFormat="1" applyFont="1" applyFill="1" applyBorder="1" applyAlignment="1" applyProtection="1">
      <alignment wrapText="1"/>
    </xf>
    <xf numFmtId="1" fontId="32" fillId="0" borderId="33" xfId="8" quotePrefix="1" applyNumberFormat="1" applyFont="1" applyFill="1" applyBorder="1" applyAlignment="1" applyProtection="1">
      <alignment horizontal="center"/>
    </xf>
    <xf numFmtId="178" fontId="32" fillId="0" borderId="33" xfId="1" quotePrefix="1" applyNumberFormat="1" applyFont="1" applyFill="1" applyBorder="1" applyAlignment="1" applyProtection="1"/>
    <xf numFmtId="178" fontId="32" fillId="0" borderId="34" xfId="1" quotePrefix="1" applyNumberFormat="1" applyFont="1" applyFill="1" applyBorder="1" applyAlignment="1" applyProtection="1"/>
    <xf numFmtId="0" fontId="32" fillId="4" borderId="47" xfId="9" applyNumberFormat="1" applyFont="1" applyFill="1" applyBorder="1" applyAlignment="1" applyProtection="1"/>
    <xf numFmtId="0" fontId="29" fillId="5" borderId="51" xfId="9" applyNumberFormat="1" applyFont="1" applyFill="1" applyBorder="1" applyAlignment="1" applyProtection="1"/>
    <xf numFmtId="0" fontId="33" fillId="5" borderId="52" xfId="9" applyNumberFormat="1" applyFont="1" applyFill="1" applyBorder="1" applyAlignment="1" applyProtection="1"/>
    <xf numFmtId="0" fontId="32" fillId="0" borderId="29" xfId="9" quotePrefix="1" applyNumberFormat="1" applyFont="1" applyFill="1" applyBorder="1" applyAlignment="1" applyProtection="1"/>
    <xf numFmtId="0" fontId="32" fillId="0" borderId="30" xfId="9" quotePrefix="1" applyNumberFormat="1" applyFont="1" applyFill="1" applyBorder="1" applyAlignment="1" applyProtection="1"/>
    <xf numFmtId="0" fontId="32" fillId="0" borderId="30" xfId="9" quotePrefix="1" applyNumberFormat="1" applyFont="1" applyFill="1" applyBorder="1" applyAlignment="1" applyProtection="1">
      <alignment horizontal="center"/>
    </xf>
    <xf numFmtId="0" fontId="32" fillId="0" borderId="0" xfId="9" applyNumberFormat="1" applyFont="1" applyFill="1" applyBorder="1" applyAlignment="1" applyProtection="1"/>
    <xf numFmtId="0" fontId="32" fillId="0" borderId="0" xfId="9" applyNumberFormat="1" applyFont="1" applyFill="1" applyBorder="1" applyAlignment="1" applyProtection="1">
      <alignment horizontal="center"/>
    </xf>
    <xf numFmtId="0" fontId="32" fillId="0" borderId="32" xfId="9" quotePrefix="1" applyNumberFormat="1" applyFont="1" applyFill="1" applyBorder="1" applyAlignment="1" applyProtection="1"/>
    <xf numFmtId="0" fontId="32" fillId="0" borderId="33" xfId="9" quotePrefix="1" applyNumberFormat="1" applyFont="1" applyFill="1" applyBorder="1" applyAlignment="1" applyProtection="1"/>
    <xf numFmtId="0" fontId="32" fillId="0" borderId="33" xfId="9" quotePrefix="1" applyNumberFormat="1" applyFont="1" applyFill="1" applyBorder="1" applyAlignment="1" applyProtection="1">
      <alignment horizontal="center"/>
    </xf>
    <xf numFmtId="0" fontId="1" fillId="0" borderId="0" xfId="8" applyNumberFormat="1" applyFont="1" applyFill="1" applyBorder="1" applyAlignment="1" applyProtection="1">
      <alignment horizontal="center"/>
    </xf>
    <xf numFmtId="0" fontId="1" fillId="0" borderId="12" xfId="8" applyNumberFormat="1" applyFont="1" applyFill="1" applyBorder="1" applyAlignment="1" applyProtection="1">
      <alignment wrapText="1"/>
    </xf>
    <xf numFmtId="0" fontId="1" fillId="0" borderId="13" xfId="8" applyNumberFormat="1" applyFont="1" applyFill="1" applyBorder="1" applyAlignment="1" applyProtection="1"/>
    <xf numFmtId="0" fontId="1" fillId="0" borderId="13" xfId="8" applyNumberFormat="1" applyFont="1" applyFill="1" applyBorder="1" applyAlignment="1" applyProtection="1">
      <alignment horizontal="center"/>
    </xf>
    <xf numFmtId="0" fontId="1" fillId="0" borderId="14" xfId="8" applyNumberFormat="1" applyFont="1" applyFill="1" applyBorder="1" applyAlignment="1" applyProtection="1"/>
    <xf numFmtId="179" fontId="2" fillId="0" borderId="54" xfId="1" applyNumberFormat="1" applyFont="1" applyFill="1" applyBorder="1" applyAlignment="1" applyProtection="1">
      <alignment horizontal="right"/>
    </xf>
    <xf numFmtId="0" fontId="1" fillId="0" borderId="55" xfId="8" applyNumberFormat="1" applyFont="1" applyFill="1" applyBorder="1" applyAlignment="1" applyProtection="1">
      <alignment wrapText="1"/>
    </xf>
    <xf numFmtId="0" fontId="1" fillId="0" borderId="56" xfId="8" applyNumberFormat="1" applyFont="1" applyFill="1" applyBorder="1" applyAlignment="1" applyProtection="1"/>
    <xf numFmtId="0" fontId="1" fillId="0" borderId="56" xfId="8" applyNumberFormat="1" applyFont="1" applyFill="1" applyBorder="1" applyAlignment="1" applyProtection="1">
      <alignment horizontal="center"/>
    </xf>
    <xf numFmtId="0" fontId="1" fillId="0" borderId="57" xfId="8" applyNumberFormat="1" applyFont="1" applyFill="1" applyBorder="1" applyAlignment="1" applyProtection="1"/>
    <xf numFmtId="179" fontId="2" fillId="0" borderId="58" xfId="8" applyNumberFormat="1" applyFont="1" applyFill="1" applyBorder="1" applyAlignment="1" applyProtection="1">
      <alignment horizontal="right"/>
    </xf>
    <xf numFmtId="0" fontId="1" fillId="0" borderId="59" xfId="8" applyNumberFormat="1" applyFont="1" applyFill="1" applyBorder="1" applyAlignment="1" applyProtection="1">
      <alignment wrapText="1"/>
    </xf>
    <xf numFmtId="0" fontId="1" fillId="0" borderId="60" xfId="8" applyNumberFormat="1" applyFont="1" applyFill="1" applyBorder="1" applyAlignment="1" applyProtection="1"/>
    <xf numFmtId="0" fontId="1" fillId="0" borderId="60" xfId="8" applyNumberFormat="1" applyFont="1" applyFill="1" applyBorder="1" applyAlignment="1" applyProtection="1">
      <alignment horizontal="center"/>
    </xf>
    <xf numFmtId="0" fontId="1" fillId="0" borderId="61" xfId="8" applyNumberFormat="1" applyFont="1" applyFill="1" applyBorder="1" applyAlignment="1" applyProtection="1"/>
    <xf numFmtId="179" fontId="2" fillId="0" borderId="62" xfId="8" applyNumberFormat="1" applyFont="1" applyFill="1" applyBorder="1" applyAlignment="1" applyProtection="1">
      <alignment horizontal="right"/>
    </xf>
    <xf numFmtId="0" fontId="29" fillId="4" borderId="35" xfId="8" applyNumberFormat="1" applyFont="1" applyFill="1" applyBorder="1" applyAlignment="1" applyProtection="1">
      <alignment horizontal="center" wrapText="1"/>
    </xf>
    <xf numFmtId="0" fontId="24" fillId="0" borderId="0" xfId="0" applyFont="1"/>
    <xf numFmtId="165" fontId="0" fillId="0" borderId="0" xfId="1" applyFont="1"/>
    <xf numFmtId="165" fontId="0" fillId="0" borderId="0" xfId="0" applyNumberFormat="1"/>
    <xf numFmtId="0" fontId="2" fillId="0" borderId="42" xfId="6" applyFont="1" applyBorder="1" applyAlignment="1">
      <alignment horizontal="centerContinuous" vertical="center" wrapText="1"/>
    </xf>
    <xf numFmtId="10" fontId="0" fillId="0" borderId="0" xfId="10" applyNumberFormat="1" applyFont="1"/>
    <xf numFmtId="49" fontId="24" fillId="0" borderId="0" xfId="0" applyNumberFormat="1" applyFont="1"/>
    <xf numFmtId="178" fontId="29" fillId="4" borderId="47" xfId="1" applyNumberFormat="1" applyFont="1" applyFill="1" applyBorder="1" applyAlignment="1" applyProtection="1">
      <alignment horizontal="center" wrapText="1"/>
    </xf>
    <xf numFmtId="2" fontId="32" fillId="0" borderId="28" xfId="8" quotePrefix="1" applyNumberFormat="1" applyFont="1" applyFill="1" applyBorder="1" applyAlignment="1" applyProtection="1">
      <alignment horizontal="center"/>
    </xf>
    <xf numFmtId="2" fontId="32" fillId="0" borderId="30" xfId="8" quotePrefix="1" applyNumberFormat="1" applyFont="1" applyFill="1" applyBorder="1" applyAlignment="1" applyProtection="1">
      <alignment horizontal="center"/>
    </xf>
    <xf numFmtId="2" fontId="32" fillId="0" borderId="33" xfId="8" quotePrefix="1" applyNumberFormat="1" applyFont="1" applyFill="1" applyBorder="1" applyAlignment="1" applyProtection="1">
      <alignment horizontal="center"/>
    </xf>
    <xf numFmtId="181" fontId="1" fillId="0" borderId="31" xfId="6" applyNumberFormat="1" applyBorder="1"/>
    <xf numFmtId="0" fontId="1" fillId="0" borderId="0" xfId="6" applyBorder="1"/>
    <xf numFmtId="177" fontId="1" fillId="2" borderId="0" xfId="6" applyNumberFormat="1" applyFill="1"/>
    <xf numFmtId="0" fontId="1" fillId="0" borderId="0" xfId="6" applyFont="1" applyAlignment="1">
      <alignment horizontal="center"/>
    </xf>
    <xf numFmtId="171" fontId="1" fillId="0" borderId="0" xfId="6" applyNumberFormat="1" applyFont="1"/>
    <xf numFmtId="0" fontId="21" fillId="0" borderId="0" xfId="6" applyFont="1" applyBorder="1" applyAlignment="1">
      <alignment horizontal="center"/>
    </xf>
    <xf numFmtId="0" fontId="2" fillId="0" borderId="0" xfId="6" applyFont="1" applyBorder="1" applyAlignment="1"/>
    <xf numFmtId="171" fontId="1" fillId="0" borderId="0" xfId="6" applyNumberFormat="1" applyBorder="1" applyAlignment="1"/>
    <xf numFmtId="0" fontId="1" fillId="0" borderId="0" xfId="6" applyBorder="1" applyAlignment="1"/>
    <xf numFmtId="9" fontId="0" fillId="0" borderId="0" xfId="10" applyFont="1"/>
    <xf numFmtId="0" fontId="35" fillId="0" borderId="0" xfId="0" applyFont="1" applyAlignment="1">
      <alignment wrapText="1"/>
    </xf>
    <xf numFmtId="0" fontId="1" fillId="0" borderId="9" xfId="6" applyFont="1" applyBorder="1" applyAlignment="1">
      <alignment horizontal="center" vertical="center"/>
    </xf>
    <xf numFmtId="0" fontId="4" fillId="0" borderId="9" xfId="6" applyFont="1" applyBorder="1" applyAlignment="1">
      <alignment horizontal="center" vertical="center" wrapText="1"/>
    </xf>
    <xf numFmtId="0" fontId="4" fillId="0" borderId="9" xfId="6" applyFont="1" applyBorder="1" applyAlignment="1">
      <alignment horizontal="center" vertical="center"/>
    </xf>
    <xf numFmtId="0" fontId="4" fillId="0" borderId="0" xfId="6" applyFont="1" applyAlignment="1">
      <alignment vertical="center"/>
    </xf>
    <xf numFmtId="0" fontId="37" fillId="0" borderId="0" xfId="6" applyFont="1"/>
    <xf numFmtId="0" fontId="39" fillId="0" borderId="0" xfId="0" applyFont="1" applyAlignment="1">
      <alignment wrapText="1"/>
    </xf>
    <xf numFmtId="0" fontId="35" fillId="0" borderId="0" xfId="0" applyFont="1" applyBorder="1" applyAlignment="1"/>
    <xf numFmtId="0" fontId="37" fillId="0" borderId="0" xfId="0" applyFont="1" applyBorder="1" applyAlignment="1">
      <alignment wrapText="1"/>
    </xf>
    <xf numFmtId="0" fontId="0" fillId="0" borderId="0" xfId="0" applyFill="1" applyBorder="1" applyAlignment="1">
      <alignment wrapText="1"/>
    </xf>
    <xf numFmtId="9" fontId="36" fillId="0" borderId="0" xfId="0" applyNumberFormat="1" applyFont="1" applyFill="1" applyBorder="1" applyAlignment="1">
      <alignment wrapText="1"/>
    </xf>
    <xf numFmtId="0" fontId="1" fillId="0" borderId="0" xfId="6" applyAlignment="1">
      <alignment horizontal="center"/>
    </xf>
    <xf numFmtId="49" fontId="4" fillId="0" borderId="11" xfId="6" applyNumberFormat="1" applyFont="1" applyBorder="1" applyAlignment="1">
      <alignment horizontal="center" vertical="center"/>
    </xf>
    <xf numFmtId="0" fontId="4" fillId="0" borderId="10" xfId="6" applyFont="1" applyBorder="1" applyAlignment="1">
      <alignment horizontal="center" vertical="center"/>
    </xf>
    <xf numFmtId="0" fontId="42" fillId="0" borderId="0" xfId="0" applyFont="1"/>
    <xf numFmtId="0" fontId="43" fillId="0" borderId="42" xfId="0" applyFont="1" applyBorder="1" applyAlignment="1"/>
    <xf numFmtId="0" fontId="43" fillId="0" borderId="43" xfId="0" applyFont="1" applyBorder="1" applyAlignment="1"/>
    <xf numFmtId="0" fontId="3" fillId="6" borderId="37" xfId="0" applyFont="1" applyFill="1" applyBorder="1" applyAlignment="1">
      <alignment wrapText="1"/>
    </xf>
    <xf numFmtId="0" fontId="3" fillId="6" borderId="35" xfId="0" applyFont="1" applyFill="1" applyBorder="1" applyAlignment="1">
      <alignment wrapText="1"/>
    </xf>
    <xf numFmtId="0" fontId="3" fillId="6" borderId="10" xfId="0" applyFont="1" applyFill="1" applyBorder="1" applyAlignment="1">
      <alignment wrapText="1"/>
    </xf>
    <xf numFmtId="0" fontId="43" fillId="0" borderId="9" xfId="0" applyFont="1" applyBorder="1" applyAlignment="1">
      <alignment wrapText="1"/>
    </xf>
    <xf numFmtId="0" fontId="44" fillId="0" borderId="9" xfId="0" applyFont="1" applyFill="1" applyBorder="1" applyAlignment="1">
      <alignment wrapText="1"/>
    </xf>
    <xf numFmtId="0" fontId="43" fillId="0" borderId="9" xfId="0" applyFont="1" applyFill="1" applyBorder="1" applyAlignment="1">
      <alignment wrapText="1"/>
    </xf>
    <xf numFmtId="0" fontId="43" fillId="0" borderId="47" xfId="0" applyFont="1" applyBorder="1" applyAlignment="1">
      <alignment wrapText="1"/>
    </xf>
    <xf numFmtId="2" fontId="43" fillId="0" borderId="47" xfId="0" applyNumberFormat="1" applyFont="1" applyBorder="1" applyAlignment="1">
      <alignment wrapText="1"/>
    </xf>
    <xf numFmtId="0" fontId="43" fillId="0" borderId="47" xfId="0" applyFont="1" applyFill="1" applyBorder="1" applyAlignment="1">
      <alignment wrapText="1"/>
    </xf>
    <xf numFmtId="0" fontId="43" fillId="0" borderId="0" xfId="0" applyFont="1" applyBorder="1" applyAlignment="1">
      <alignment wrapText="1"/>
    </xf>
    <xf numFmtId="0" fontId="43" fillId="0" borderId="42" xfId="0" applyFont="1" applyBorder="1" applyAlignment="1">
      <alignment wrapText="1"/>
    </xf>
    <xf numFmtId="0" fontId="43" fillId="0" borderId="42" xfId="0" applyFont="1" applyFill="1" applyBorder="1" applyAlignment="1">
      <alignment wrapText="1"/>
    </xf>
    <xf numFmtId="2" fontId="46" fillId="0" borderId="44" xfId="0" applyNumberFormat="1" applyFont="1" applyFill="1" applyBorder="1" applyAlignment="1">
      <alignment wrapText="1"/>
    </xf>
    <xf numFmtId="0" fontId="43" fillId="0" borderId="0" xfId="0" applyFont="1" applyFill="1" applyBorder="1" applyAlignment="1">
      <alignment wrapText="1"/>
    </xf>
    <xf numFmtId="2" fontId="46" fillId="0" borderId="43" xfId="0" applyNumberFormat="1" applyFont="1" applyFill="1" applyBorder="1" applyAlignment="1">
      <alignment wrapText="1"/>
    </xf>
    <xf numFmtId="0" fontId="44" fillId="0" borderId="47" xfId="0" applyFont="1" applyFill="1" applyBorder="1" applyAlignment="1">
      <alignment wrapText="1"/>
    </xf>
    <xf numFmtId="0" fontId="44" fillId="0" borderId="0" xfId="0" applyFont="1" applyFill="1" applyBorder="1" applyAlignment="1">
      <alignment wrapText="1"/>
    </xf>
    <xf numFmtId="0" fontId="44" fillId="0" borderId="42" xfId="0" applyFont="1" applyFill="1" applyBorder="1" applyAlignment="1">
      <alignment wrapText="1"/>
    </xf>
    <xf numFmtId="2" fontId="46" fillId="0" borderId="46" xfId="0" applyNumberFormat="1" applyFont="1" applyFill="1" applyBorder="1" applyAlignment="1">
      <alignment wrapText="1"/>
    </xf>
    <xf numFmtId="0" fontId="1" fillId="0" borderId="0" xfId="6" applyAlignment="1">
      <alignment horizontal="center"/>
    </xf>
    <xf numFmtId="0" fontId="1" fillId="0" borderId="0" xfId="6" applyAlignment="1">
      <alignment horizontal="left" vertical="center" wrapText="1"/>
    </xf>
    <xf numFmtId="0" fontId="37" fillId="0" borderId="64" xfId="6" applyFont="1" applyBorder="1" applyAlignment="1">
      <alignment horizontal="center" vertical="center" textRotation="90" wrapText="1"/>
    </xf>
    <xf numFmtId="0" fontId="2" fillId="0" borderId="0" xfId="6" applyFont="1" applyAlignment="1">
      <alignment horizontal="center"/>
    </xf>
    <xf numFmtId="0" fontId="1" fillId="0" borderId="0" xfId="6" applyBorder="1" applyAlignment="1">
      <alignment horizontal="center"/>
    </xf>
    <xf numFmtId="0" fontId="2" fillId="0" borderId="0" xfId="6" applyFont="1" applyAlignment="1">
      <alignment horizontal="left" vertical="center"/>
    </xf>
    <xf numFmtId="0" fontId="2" fillId="0" borderId="52" xfId="6" applyFont="1" applyBorder="1" applyAlignment="1">
      <alignment horizontal="left"/>
    </xf>
    <xf numFmtId="0" fontId="2" fillId="0" borderId="8" xfId="6" applyFont="1" applyBorder="1" applyAlignment="1">
      <alignment horizontal="center" vertical="center"/>
    </xf>
    <xf numFmtId="0" fontId="1" fillId="0" borderId="8" xfId="6" applyBorder="1" applyAlignment="1">
      <alignment horizontal="left" vertical="center"/>
    </xf>
    <xf numFmtId="0" fontId="1" fillId="0" borderId="8" xfId="6" applyBorder="1" applyAlignment="1">
      <alignment horizontal="left" vertical="center" wrapText="1"/>
    </xf>
    <xf numFmtId="0" fontId="4" fillId="0" borderId="24" xfId="6" applyFont="1" applyBorder="1" applyAlignment="1">
      <alignment horizontal="center" vertical="center" wrapText="1"/>
    </xf>
    <xf numFmtId="0" fontId="1" fillId="0" borderId="57" xfId="6" applyFont="1" applyBorder="1" applyAlignment="1">
      <alignment horizontal="center" vertical="center"/>
    </xf>
    <xf numFmtId="183" fontId="49" fillId="0" borderId="31" xfId="6" applyNumberFormat="1" applyFont="1" applyBorder="1"/>
    <xf numFmtId="43" fontId="0" fillId="0" borderId="0" xfId="0" applyNumberFormat="1"/>
    <xf numFmtId="180" fontId="0" fillId="0" borderId="53" xfId="1" applyNumberFormat="1" applyFont="1" applyBorder="1"/>
    <xf numFmtId="0" fontId="0" fillId="0" borderId="69" xfId="0" applyBorder="1"/>
    <xf numFmtId="165" fontId="0" fillId="0" borderId="70" xfId="1" applyFont="1" applyBorder="1"/>
    <xf numFmtId="0" fontId="0" fillId="0" borderId="68" xfId="0" applyBorder="1"/>
    <xf numFmtId="165" fontId="0" fillId="0" borderId="71" xfId="1" applyFont="1" applyBorder="1"/>
    <xf numFmtId="0" fontId="0" fillId="0" borderId="53" xfId="0" applyBorder="1"/>
    <xf numFmtId="0" fontId="0" fillId="0" borderId="70" xfId="0" applyBorder="1"/>
    <xf numFmtId="1" fontId="1" fillId="0" borderId="29" xfId="6" applyNumberFormat="1" applyBorder="1" applyAlignment="1" applyProtection="1">
      <alignment horizontal="right"/>
    </xf>
    <xf numFmtId="0" fontId="47" fillId="0" borderId="0" xfId="0" applyFont="1" applyAlignment="1"/>
    <xf numFmtId="0" fontId="9" fillId="0" borderId="0" xfId="0" applyFont="1" applyAlignment="1">
      <alignment wrapText="1"/>
    </xf>
    <xf numFmtId="0" fontId="9" fillId="0" borderId="0" xfId="0" applyFont="1" applyAlignment="1"/>
    <xf numFmtId="0" fontId="3" fillId="0" borderId="0" xfId="0" applyFont="1" applyAlignment="1">
      <alignment vertical="center"/>
    </xf>
    <xf numFmtId="0" fontId="9" fillId="0" borderId="0" xfId="6" applyFont="1" applyBorder="1"/>
    <xf numFmtId="0" fontId="1" fillId="0" borderId="0" xfId="6" applyBorder="1" applyAlignment="1">
      <alignment horizontal="left" vertical="center" wrapText="1"/>
    </xf>
    <xf numFmtId="0" fontId="2" fillId="0" borderId="0" xfId="6" applyFont="1" applyAlignment="1">
      <alignment horizontal="left" vertical="center" wrapText="1"/>
    </xf>
    <xf numFmtId="0" fontId="37" fillId="0" borderId="15" xfId="6" applyFont="1" applyBorder="1" applyAlignment="1">
      <alignment horizontal="center" vertical="center" textRotation="90" wrapText="1"/>
    </xf>
    <xf numFmtId="0" fontId="2" fillId="0" borderId="18" xfId="6" applyFont="1" applyBorder="1" applyAlignment="1">
      <alignment horizontal="centerContinuous" vertical="center" wrapText="1"/>
    </xf>
    <xf numFmtId="0" fontId="2" fillId="0" borderId="17" xfId="6" applyFont="1" applyBorder="1" applyAlignment="1">
      <alignment horizontal="centerContinuous" vertical="center" wrapText="1"/>
    </xf>
    <xf numFmtId="0" fontId="2" fillId="0" borderId="20" xfId="6" applyFont="1" applyBorder="1" applyAlignment="1">
      <alignment horizontal="centerContinuous" vertical="center" wrapText="1"/>
    </xf>
    <xf numFmtId="0" fontId="4" fillId="0" borderId="1" xfId="6" applyFont="1" applyBorder="1" applyAlignment="1">
      <alignment horizontal="center" vertical="center" wrapText="1"/>
    </xf>
    <xf numFmtId="0" fontId="4" fillId="0" borderId="2" xfId="6" applyFont="1" applyBorder="1" applyAlignment="1">
      <alignment horizontal="center" vertical="center" wrapText="1"/>
    </xf>
    <xf numFmtId="0" fontId="4" fillId="0" borderId="3" xfId="6" applyFont="1" applyBorder="1" applyAlignment="1">
      <alignment horizontal="center" vertical="center" wrapText="1"/>
    </xf>
    <xf numFmtId="0" fontId="4" fillId="0" borderId="11" xfId="6" applyFont="1" applyBorder="1" applyAlignment="1">
      <alignment horizontal="center" vertical="center" wrapText="1"/>
    </xf>
    <xf numFmtId="0" fontId="4" fillId="0" borderId="25" xfId="6" applyFont="1" applyBorder="1" applyAlignment="1">
      <alignment horizontal="center" vertical="center" wrapText="1"/>
    </xf>
    <xf numFmtId="0" fontId="1" fillId="0" borderId="11" xfId="6" applyFont="1" applyBorder="1" applyAlignment="1">
      <alignment horizontal="center" vertical="center"/>
    </xf>
    <xf numFmtId="0" fontId="1" fillId="0" borderId="25" xfId="6" applyFont="1" applyBorder="1" applyAlignment="1">
      <alignment horizontal="center" vertical="center"/>
    </xf>
    <xf numFmtId="0" fontId="4" fillId="0" borderId="71" xfId="6" applyFont="1" applyBorder="1" applyAlignment="1">
      <alignment horizontal="center" vertical="center"/>
    </xf>
    <xf numFmtId="0" fontId="4" fillId="0" borderId="26" xfId="6" applyFont="1" applyBorder="1" applyAlignment="1">
      <alignment horizontal="center" vertical="center"/>
    </xf>
    <xf numFmtId="180" fontId="4" fillId="0" borderId="1" xfId="1" applyNumberFormat="1" applyFont="1" applyBorder="1" applyAlignment="1">
      <alignment horizontal="center" vertical="center"/>
    </xf>
    <xf numFmtId="166" fontId="4" fillId="0" borderId="3" xfId="6" applyNumberFormat="1" applyFont="1" applyBorder="1" applyAlignment="1">
      <alignment horizontal="center" vertical="center"/>
    </xf>
    <xf numFmtId="180" fontId="4" fillId="0" borderId="73" xfId="1" applyNumberFormat="1" applyFont="1" applyBorder="1" applyAlignment="1">
      <alignment horizontal="center" vertical="center"/>
    </xf>
    <xf numFmtId="166" fontId="4" fillId="0" borderId="64" xfId="6" applyNumberFormat="1" applyFont="1" applyBorder="1" applyAlignment="1">
      <alignment horizontal="center" vertical="center"/>
    </xf>
    <xf numFmtId="0" fontId="4" fillId="0" borderId="54" xfId="6" applyFont="1" applyBorder="1" applyAlignment="1">
      <alignment horizontal="center" vertical="center" wrapText="1"/>
    </xf>
    <xf numFmtId="0" fontId="4" fillId="0" borderId="58" xfId="6" applyFont="1" applyBorder="1" applyAlignment="1">
      <alignment horizontal="center" vertical="center" wrapText="1"/>
    </xf>
    <xf numFmtId="0" fontId="1" fillId="0" borderId="58" xfId="6" applyFont="1" applyBorder="1" applyAlignment="1">
      <alignment horizontal="center" vertical="center"/>
    </xf>
    <xf numFmtId="0" fontId="2" fillId="0" borderId="0" xfId="6" applyFont="1" applyAlignment="1">
      <alignment vertical="center"/>
    </xf>
    <xf numFmtId="49" fontId="4" fillId="0" borderId="1" xfId="6" applyNumberFormat="1" applyFont="1" applyBorder="1" applyAlignment="1">
      <alignment horizontal="center" vertical="center"/>
    </xf>
    <xf numFmtId="0" fontId="4" fillId="0" borderId="39" xfId="6" applyFont="1" applyBorder="1" applyAlignment="1">
      <alignment horizontal="center" vertical="center" wrapText="1"/>
    </xf>
    <xf numFmtId="0" fontId="4" fillId="0" borderId="40" xfId="6" applyFont="1" applyBorder="1" applyAlignment="1">
      <alignment horizontal="center" vertical="center"/>
    </xf>
    <xf numFmtId="0" fontId="4" fillId="0" borderId="2" xfId="6" applyFont="1" applyBorder="1" applyAlignment="1">
      <alignment horizontal="center" vertical="center"/>
    </xf>
    <xf numFmtId="0" fontId="48" fillId="0" borderId="14" xfId="6" applyFont="1" applyBorder="1" applyAlignment="1">
      <alignment horizontal="center" vertical="center"/>
    </xf>
    <xf numFmtId="0" fontId="4" fillId="0" borderId="5" xfId="6" applyFont="1" applyBorder="1" applyAlignment="1">
      <alignment horizontal="center" vertical="center" wrapText="1"/>
    </xf>
    <xf numFmtId="0" fontId="4" fillId="0" borderId="6" xfId="6" applyFont="1" applyBorder="1" applyAlignment="1">
      <alignment horizontal="center" vertical="center"/>
    </xf>
    <xf numFmtId="0" fontId="4" fillId="0" borderId="7" xfId="6" applyFont="1" applyBorder="1" applyAlignment="1">
      <alignment horizontal="center" vertical="center"/>
    </xf>
    <xf numFmtId="0" fontId="2" fillId="0" borderId="0" xfId="6" applyFont="1" applyBorder="1" applyAlignment="1">
      <alignment horizontal="center"/>
    </xf>
    <xf numFmtId="0" fontId="51" fillId="0" borderId="0" xfId="0" applyFont="1" applyFill="1" applyBorder="1"/>
    <xf numFmtId="0" fontId="51" fillId="0" borderId="0" xfId="0" applyFont="1" applyFill="1" applyBorder="1" applyAlignment="1">
      <alignment vertical="center"/>
    </xf>
    <xf numFmtId="0" fontId="52" fillId="0" borderId="0" xfId="0" applyFont="1" applyFill="1" applyBorder="1" applyAlignment="1"/>
    <xf numFmtId="167" fontId="51" fillId="0" borderId="0" xfId="0" applyNumberFormat="1" applyFont="1" applyFill="1" applyBorder="1"/>
    <xf numFmtId="0" fontId="49" fillId="0" borderId="0" xfId="6" applyFont="1" applyFill="1" applyBorder="1" applyAlignment="1">
      <alignment horizontal="left" vertical="center" wrapText="1"/>
    </xf>
    <xf numFmtId="0" fontId="49" fillId="0" borderId="0" xfId="6" applyFont="1" applyFill="1" applyBorder="1" applyAlignment="1">
      <alignment horizontal="center"/>
    </xf>
    <xf numFmtId="0" fontId="1" fillId="0" borderId="0" xfId="6" applyFont="1" applyBorder="1" applyAlignment="1">
      <alignment horizontal="left"/>
    </xf>
    <xf numFmtId="0" fontId="1" fillId="0" borderId="0" xfId="6" applyFont="1" applyBorder="1" applyAlignment="1"/>
    <xf numFmtId="0" fontId="49" fillId="0" borderId="0" xfId="6" applyFont="1"/>
    <xf numFmtId="0" fontId="41" fillId="0" borderId="0" xfId="0" applyFont="1"/>
    <xf numFmtId="0" fontId="9" fillId="0" borderId="0" xfId="0" applyFont="1" applyFill="1" applyBorder="1" applyAlignment="1">
      <alignment horizontal="left"/>
    </xf>
    <xf numFmtId="167" fontId="44" fillId="0" borderId="0" xfId="2" applyFont="1" applyFill="1" applyBorder="1" applyAlignment="1">
      <alignment wrapText="1"/>
    </xf>
    <xf numFmtId="0" fontId="50" fillId="0" borderId="0" xfId="0" applyFont="1" applyFill="1" applyBorder="1" applyAlignment="1"/>
    <xf numFmtId="0" fontId="3" fillId="6" borderId="9" xfId="0" applyFont="1" applyFill="1" applyBorder="1" applyAlignment="1">
      <alignment wrapText="1"/>
    </xf>
    <xf numFmtId="0" fontId="0" fillId="0" borderId="9" xfId="0" applyBorder="1" applyAlignment="1">
      <alignment wrapText="1"/>
    </xf>
    <xf numFmtId="16" fontId="0" fillId="0" borderId="9" xfId="0" applyNumberFormat="1" applyBorder="1" applyAlignment="1">
      <alignment wrapText="1"/>
    </xf>
    <xf numFmtId="2" fontId="0" fillId="0" borderId="9" xfId="0" applyNumberFormat="1" applyBorder="1" applyAlignment="1">
      <alignment wrapText="1"/>
    </xf>
    <xf numFmtId="2" fontId="41" fillId="0" borderId="9" xfId="0" applyNumberFormat="1" applyFont="1" applyBorder="1" applyAlignment="1">
      <alignment wrapText="1"/>
    </xf>
    <xf numFmtId="0" fontId="54" fillId="0" borderId="9" xfId="0" applyFont="1" applyBorder="1" applyAlignment="1">
      <alignment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xf>
    <xf numFmtId="1" fontId="1" fillId="0" borderId="29" xfId="6" applyNumberFormat="1" applyBorder="1" applyAlignment="1" applyProtection="1">
      <alignment horizontal="left" wrapText="1"/>
    </xf>
    <xf numFmtId="177" fontId="1" fillId="0" borderId="30" xfId="6" applyNumberFormat="1" applyBorder="1"/>
    <xf numFmtId="41" fontId="1" fillId="0" borderId="0" xfId="11" applyFont="1"/>
    <xf numFmtId="1" fontId="1" fillId="3" borderId="29" xfId="6" applyNumberFormat="1" applyFill="1" applyBorder="1" applyAlignment="1" applyProtection="1">
      <alignment horizontal="left" wrapText="1"/>
    </xf>
    <xf numFmtId="41" fontId="0" fillId="0" borderId="0" xfId="11" applyFont="1"/>
    <xf numFmtId="173" fontId="0" fillId="0" borderId="0" xfId="0" applyNumberFormat="1"/>
    <xf numFmtId="49" fontId="12" fillId="0" borderId="73" xfId="6" applyNumberFormat="1" applyFont="1" applyBorder="1" applyAlignment="1">
      <alignment horizontal="center" vertical="center"/>
    </xf>
    <xf numFmtId="0" fontId="12" fillId="0" borderId="74" xfId="6" applyFont="1" applyBorder="1" applyAlignment="1">
      <alignment horizontal="center" vertical="center" wrapText="1"/>
    </xf>
    <xf numFmtId="0" fontId="12" fillId="0" borderId="66" xfId="6" applyFont="1" applyBorder="1" applyAlignment="1">
      <alignment horizontal="center" vertical="center" wrapText="1"/>
    </xf>
    <xf numFmtId="0" fontId="12" fillId="0" borderId="73" xfId="6" applyFont="1" applyBorder="1" applyAlignment="1">
      <alignment horizontal="center" vertical="center" wrapText="1"/>
    </xf>
    <xf numFmtId="0" fontId="12" fillId="0" borderId="79" xfId="6" applyFont="1" applyBorder="1" applyAlignment="1">
      <alignment horizontal="center" vertical="center" wrapText="1"/>
    </xf>
    <xf numFmtId="0" fontId="12" fillId="0" borderId="64" xfId="6" applyFont="1" applyBorder="1" applyAlignment="1">
      <alignment horizontal="center" vertical="center" wrapText="1"/>
    </xf>
    <xf numFmtId="0" fontId="34" fillId="0" borderId="22" xfId="6" applyFont="1" applyBorder="1" applyAlignment="1">
      <alignment horizontal="center" vertical="center"/>
    </xf>
    <xf numFmtId="180" fontId="4" fillId="0" borderId="11" xfId="1" applyNumberFormat="1" applyFont="1" applyBorder="1" applyAlignment="1">
      <alignment horizontal="center" vertical="center"/>
    </xf>
    <xf numFmtId="166" fontId="4" fillId="0" borderId="25" xfId="6" applyNumberFormat="1" applyFont="1" applyBorder="1" applyAlignment="1">
      <alignment horizontal="center" vertical="center"/>
    </xf>
    <xf numFmtId="0" fontId="48" fillId="0" borderId="57" xfId="6" applyFont="1" applyBorder="1" applyAlignment="1">
      <alignment horizontal="center" vertical="center"/>
    </xf>
    <xf numFmtId="49" fontId="4" fillId="0" borderId="4" xfId="6" applyNumberFormat="1" applyFont="1" applyBorder="1" applyAlignment="1">
      <alignment horizontal="center" vertical="center"/>
    </xf>
    <xf numFmtId="0" fontId="1" fillId="0" borderId="62" xfId="6" applyFont="1" applyBorder="1" applyAlignment="1">
      <alignment horizontal="center" vertical="center"/>
    </xf>
    <xf numFmtId="0" fontId="1" fillId="0" borderId="4" xfId="6" applyFont="1" applyBorder="1" applyAlignment="1">
      <alignment horizontal="center" vertical="center"/>
    </xf>
    <xf numFmtId="0" fontId="1" fillId="0" borderId="7" xfId="6" applyFont="1" applyBorder="1" applyAlignment="1">
      <alignment horizontal="center" vertical="center"/>
    </xf>
    <xf numFmtId="0" fontId="1" fillId="0" borderId="23" xfId="6" applyFont="1" applyBorder="1" applyAlignment="1">
      <alignment horizontal="center" vertical="center"/>
    </xf>
    <xf numFmtId="180" fontId="4" fillId="0" borderId="4" xfId="1" applyNumberFormat="1" applyFont="1" applyBorder="1" applyAlignment="1">
      <alignment horizontal="center" vertical="center"/>
    </xf>
    <xf numFmtId="166" fontId="4" fillId="0" borderId="23" xfId="6" applyNumberFormat="1" applyFont="1" applyBorder="1" applyAlignment="1">
      <alignment horizontal="center" vertical="center"/>
    </xf>
    <xf numFmtId="0" fontId="1" fillId="0" borderId="61" xfId="6" applyFont="1" applyBorder="1" applyAlignment="1">
      <alignment horizontal="center" vertical="center"/>
    </xf>
    <xf numFmtId="0" fontId="43" fillId="0" borderId="47" xfId="0" applyNumberFormat="1" applyFont="1" applyBorder="1" applyAlignment="1">
      <alignment wrapText="1"/>
    </xf>
    <xf numFmtId="0" fontId="43" fillId="0" borderId="9" xfId="0" applyFont="1" applyBorder="1" applyAlignment="1">
      <alignment vertical="top" wrapText="1"/>
    </xf>
    <xf numFmtId="2" fontId="3" fillId="0" borderId="9" xfId="0" applyNumberFormat="1" applyFont="1" applyFill="1" applyBorder="1" applyAlignment="1">
      <alignment vertical="top" wrapText="1"/>
    </xf>
    <xf numFmtId="0" fontId="44" fillId="0" borderId="9" xfId="0" applyFont="1" applyFill="1" applyBorder="1" applyAlignment="1">
      <alignment vertical="top" wrapText="1"/>
    </xf>
    <xf numFmtId="184" fontId="44" fillId="0" borderId="9" xfId="11" applyNumberFormat="1" applyFont="1" applyFill="1" applyBorder="1" applyAlignment="1">
      <alignment vertical="top" wrapText="1"/>
    </xf>
    <xf numFmtId="2" fontId="44" fillId="0" borderId="9" xfId="0" applyNumberFormat="1" applyFont="1" applyFill="1" applyBorder="1" applyAlignment="1">
      <alignment vertical="top" wrapText="1"/>
    </xf>
    <xf numFmtId="9" fontId="44" fillId="0" borderId="9" xfId="0" applyNumberFormat="1" applyFont="1" applyFill="1" applyBorder="1" applyAlignment="1">
      <alignment vertical="top" wrapText="1"/>
    </xf>
    <xf numFmtId="9" fontId="36" fillId="0" borderId="0" xfId="0" applyNumberFormat="1" applyFont="1" applyFill="1" applyBorder="1" applyAlignment="1">
      <alignment vertical="top" wrapText="1"/>
    </xf>
    <xf numFmtId="0" fontId="35" fillId="0" borderId="0" xfId="0" applyFont="1" applyAlignment="1">
      <alignment vertical="top" wrapText="1"/>
    </xf>
    <xf numFmtId="0" fontId="43" fillId="0" borderId="9" xfId="0" applyNumberFormat="1" applyFont="1" applyBorder="1" applyAlignment="1">
      <alignment vertical="top" wrapText="1"/>
    </xf>
    <xf numFmtId="2" fontId="35" fillId="0" borderId="0" xfId="0" applyNumberFormat="1" applyFont="1" applyAlignment="1">
      <alignment wrapText="1"/>
    </xf>
    <xf numFmtId="41" fontId="36" fillId="0" borderId="0" xfId="11" applyFont="1" applyFill="1" applyBorder="1" applyAlignment="1">
      <alignment wrapText="1"/>
    </xf>
    <xf numFmtId="2" fontId="43" fillId="0" borderId="47" xfId="0" applyNumberFormat="1" applyFont="1" applyFill="1" applyBorder="1" applyAlignment="1">
      <alignment wrapText="1"/>
    </xf>
    <xf numFmtId="0" fontId="50" fillId="0" borderId="1" xfId="0" applyFont="1" applyFill="1" applyBorder="1" applyAlignment="1"/>
    <xf numFmtId="0" fontId="44" fillId="0" borderId="2" xfId="0" applyFont="1" applyFill="1" applyBorder="1" applyAlignment="1">
      <alignment wrapText="1"/>
    </xf>
    <xf numFmtId="0" fontId="50" fillId="0" borderId="11" xfId="0" applyFont="1" applyFill="1" applyBorder="1" applyAlignment="1"/>
    <xf numFmtId="0" fontId="44" fillId="0" borderId="58" xfId="0" applyFont="1" applyFill="1" applyBorder="1" applyAlignment="1">
      <alignment horizontal="center" wrapText="1"/>
    </xf>
    <xf numFmtId="0" fontId="44" fillId="0" borderId="62" xfId="0" applyFont="1" applyFill="1" applyBorder="1" applyAlignment="1">
      <alignment horizontal="center" wrapText="1"/>
    </xf>
    <xf numFmtId="0" fontId="50" fillId="0" borderId="70" xfId="0" applyFont="1" applyFill="1" applyBorder="1" applyAlignment="1"/>
    <xf numFmtId="0" fontId="44" fillId="0" borderId="35" xfId="0" applyFont="1" applyFill="1" applyBorder="1" applyAlignment="1">
      <alignment wrapText="1"/>
    </xf>
    <xf numFmtId="0" fontId="44" fillId="0" borderId="69" xfId="0" applyFont="1" applyFill="1" applyBorder="1" applyAlignment="1">
      <alignment wrapText="1"/>
    </xf>
    <xf numFmtId="0" fontId="44" fillId="0" borderId="0" xfId="0" applyFont="1" applyFill="1" applyBorder="1" applyAlignment="1">
      <alignment horizontal="center" wrapText="1"/>
    </xf>
    <xf numFmtId="0" fontId="50" fillId="0" borderId="55" xfId="0" applyFont="1" applyFill="1" applyBorder="1" applyAlignment="1"/>
    <xf numFmtId="0" fontId="44" fillId="0" borderId="56" xfId="0" applyFont="1" applyFill="1" applyBorder="1" applyAlignment="1">
      <alignment wrapText="1"/>
    </xf>
    <xf numFmtId="0" fontId="44" fillId="0" borderId="57" xfId="0" applyFont="1" applyFill="1" applyBorder="1" applyAlignment="1">
      <alignment wrapText="1"/>
    </xf>
    <xf numFmtId="0" fontId="50" fillId="0" borderId="59" xfId="0" applyFont="1" applyFill="1" applyBorder="1" applyAlignment="1"/>
    <xf numFmtId="0" fontId="44" fillId="0" borderId="60" xfId="0" applyFont="1" applyFill="1" applyBorder="1" applyAlignment="1">
      <alignment wrapText="1"/>
    </xf>
    <xf numFmtId="0" fontId="44" fillId="0" borderId="61" xfId="0" applyFont="1" applyFill="1" applyBorder="1" applyAlignment="1">
      <alignment wrapText="1"/>
    </xf>
    <xf numFmtId="0" fontId="50" fillId="0" borderId="80" xfId="0" applyFont="1" applyFill="1" applyBorder="1" applyAlignment="1"/>
    <xf numFmtId="0" fontId="44" fillId="0" borderId="8" xfId="0" applyFont="1" applyFill="1" applyBorder="1" applyAlignment="1">
      <alignment wrapText="1"/>
    </xf>
    <xf numFmtId="0" fontId="44" fillId="0" borderId="63" xfId="0" applyFont="1" applyFill="1" applyBorder="1" applyAlignment="1">
      <alignment wrapText="1"/>
    </xf>
    <xf numFmtId="0" fontId="44" fillId="0" borderId="72" xfId="0" applyFont="1" applyFill="1" applyBorder="1" applyAlignment="1">
      <alignment horizontal="center" wrapText="1"/>
    </xf>
    <xf numFmtId="0" fontId="50" fillId="0" borderId="45" xfId="0" applyFont="1" applyFill="1" applyBorder="1" applyAlignment="1"/>
    <xf numFmtId="14" fontId="0" fillId="0" borderId="9" xfId="0" applyNumberFormat="1" applyBorder="1" applyAlignment="1">
      <alignment wrapText="1"/>
    </xf>
    <xf numFmtId="0" fontId="0" fillId="0" borderId="9" xfId="0" applyBorder="1" applyAlignment="1">
      <alignment vertical="top" wrapText="1"/>
    </xf>
    <xf numFmtId="14" fontId="0" fillId="0" borderId="9" xfId="0" applyNumberFormat="1" applyBorder="1" applyAlignment="1">
      <alignment vertical="top" wrapText="1"/>
    </xf>
    <xf numFmtId="14" fontId="35" fillId="0" borderId="0" xfId="0" applyNumberFormat="1" applyFont="1" applyAlignment="1">
      <alignment vertical="top" wrapText="1"/>
    </xf>
    <xf numFmtId="0" fontId="55" fillId="0" borderId="9" xfId="0" applyFont="1" applyBorder="1" applyAlignment="1">
      <alignment vertical="top" wrapText="1"/>
    </xf>
    <xf numFmtId="0" fontId="53" fillId="0" borderId="9" xfId="0" applyFont="1" applyBorder="1" applyAlignment="1">
      <alignment vertical="top" wrapText="1"/>
    </xf>
    <xf numFmtId="0" fontId="50" fillId="0" borderId="81" xfId="0" applyFont="1" applyFill="1" applyBorder="1" applyAlignment="1"/>
    <xf numFmtId="0" fontId="44" fillId="0" borderId="52" xfId="0" applyFont="1" applyFill="1" applyBorder="1" applyAlignment="1">
      <alignment wrapText="1"/>
    </xf>
    <xf numFmtId="0" fontId="44" fillId="0" borderId="78" xfId="0" applyFont="1" applyFill="1" applyBorder="1" applyAlignment="1">
      <alignment wrapText="1"/>
    </xf>
    <xf numFmtId="0" fontId="44" fillId="0" borderId="76" xfId="0" applyFont="1" applyFill="1" applyBorder="1" applyAlignment="1">
      <alignment horizontal="center" wrapText="1"/>
    </xf>
    <xf numFmtId="0" fontId="0" fillId="0" borderId="0" xfId="0" applyBorder="1" applyAlignment="1">
      <alignment vertical="top" wrapText="1"/>
    </xf>
    <xf numFmtId="14" fontId="0" fillId="0" borderId="9" xfId="0" applyNumberFormat="1" applyBorder="1" applyAlignment="1">
      <alignment horizontal="right" vertical="top"/>
    </xf>
    <xf numFmtId="0" fontId="40" fillId="0" borderId="9" xfId="0" applyFont="1" applyBorder="1" applyAlignment="1">
      <alignment vertical="top" wrapText="1"/>
    </xf>
    <xf numFmtId="41" fontId="2" fillId="0" borderId="45" xfId="11" applyFont="1" applyBorder="1" applyAlignment="1"/>
    <xf numFmtId="49" fontId="25" fillId="0" borderId="0" xfId="11" applyNumberFormat="1" applyFont="1" applyAlignment="1">
      <alignment horizontal="right" wrapText="1"/>
    </xf>
    <xf numFmtId="0" fontId="50" fillId="7" borderId="45" xfId="0" applyFont="1" applyFill="1" applyBorder="1" applyAlignment="1"/>
    <xf numFmtId="0" fontId="44" fillId="7" borderId="42" xfId="0" applyFont="1" applyFill="1" applyBorder="1" applyAlignment="1">
      <alignment wrapText="1"/>
    </xf>
    <xf numFmtId="0" fontId="44" fillId="7" borderId="43" xfId="0" applyFont="1" applyFill="1" applyBorder="1" applyAlignment="1">
      <alignment wrapText="1"/>
    </xf>
    <xf numFmtId="0" fontId="44" fillId="7" borderId="44" xfId="0" applyFont="1" applyFill="1" applyBorder="1" applyAlignment="1">
      <alignment horizontal="center" wrapText="1"/>
    </xf>
    <xf numFmtId="0" fontId="50" fillId="8" borderId="45" xfId="0" applyFont="1" applyFill="1" applyBorder="1" applyAlignment="1"/>
    <xf numFmtId="0" fontId="44" fillId="8" borderId="42" xfId="0" applyFont="1" applyFill="1" applyBorder="1" applyAlignment="1">
      <alignment wrapText="1"/>
    </xf>
    <xf numFmtId="0" fontId="44" fillId="8" borderId="43" xfId="0" applyFont="1" applyFill="1" applyBorder="1" applyAlignment="1">
      <alignment wrapText="1"/>
    </xf>
    <xf numFmtId="0" fontId="44" fillId="8" borderId="44" xfId="0" applyFont="1" applyFill="1" applyBorder="1" applyAlignment="1">
      <alignment horizontal="center" wrapText="1"/>
    </xf>
    <xf numFmtId="9" fontId="45" fillId="0" borderId="9" xfId="0" applyNumberFormat="1" applyFont="1" applyFill="1" applyBorder="1" applyAlignment="1">
      <alignment vertical="top" wrapText="1"/>
    </xf>
    <xf numFmtId="0" fontId="50" fillId="0" borderId="19" xfId="0" applyFont="1" applyFill="1" applyBorder="1" applyAlignment="1"/>
    <xf numFmtId="0" fontId="44" fillId="0" borderId="21" xfId="0" applyFont="1" applyFill="1" applyBorder="1" applyAlignment="1">
      <alignment wrapText="1"/>
    </xf>
    <xf numFmtId="0" fontId="44" fillId="0" borderId="67" xfId="0" applyFont="1" applyFill="1" applyBorder="1" applyAlignment="1">
      <alignment horizontal="center" wrapText="1"/>
    </xf>
    <xf numFmtId="0" fontId="44" fillId="0" borderId="42" xfId="0" applyFont="1" applyFill="1" applyBorder="1" applyAlignment="1">
      <alignment horizontal="center" wrapText="1"/>
    </xf>
    <xf numFmtId="0" fontId="44" fillId="0" borderId="43" xfId="0" applyFont="1" applyFill="1" applyBorder="1" applyAlignment="1">
      <alignment horizontal="center" wrapText="1"/>
    </xf>
    <xf numFmtId="42" fontId="44" fillId="0" borderId="72" xfId="12" applyFont="1" applyFill="1" applyBorder="1" applyAlignment="1">
      <alignment horizontal="center" wrapText="1"/>
    </xf>
    <xf numFmtId="42" fontId="44" fillId="0" borderId="58" xfId="12" applyFont="1" applyFill="1" applyBorder="1" applyAlignment="1">
      <alignment horizontal="center" wrapText="1"/>
    </xf>
    <xf numFmtId="42" fontId="44" fillId="0" borderId="76" xfId="12" applyFont="1" applyFill="1" applyBorder="1" applyAlignment="1">
      <alignment horizontal="center" wrapText="1"/>
    </xf>
    <xf numFmtId="42" fontId="44" fillId="0" borderId="44" xfId="12" applyFont="1" applyFill="1" applyBorder="1" applyAlignment="1">
      <alignment horizontal="center" wrapText="1"/>
    </xf>
    <xf numFmtId="42" fontId="56" fillId="0" borderId="67" xfId="12" applyFont="1" applyFill="1" applyBorder="1" applyAlignment="1">
      <alignment horizontal="center" wrapText="1"/>
    </xf>
    <xf numFmtId="42" fontId="44" fillId="0" borderId="0" xfId="12" applyFont="1" applyFill="1" applyBorder="1" applyAlignment="1">
      <alignment horizontal="center" wrapText="1"/>
    </xf>
    <xf numFmtId="2" fontId="0" fillId="0" borderId="0" xfId="0" applyNumberFormat="1" applyBorder="1" applyAlignment="1">
      <alignment wrapText="1"/>
    </xf>
    <xf numFmtId="0" fontId="44" fillId="0" borderId="2" xfId="0" applyFont="1" applyFill="1" applyBorder="1" applyAlignment="1">
      <alignment horizontal="center" wrapText="1"/>
    </xf>
    <xf numFmtId="2" fontId="0" fillId="0" borderId="2" xfId="0" applyNumberFormat="1" applyBorder="1" applyAlignment="1">
      <alignment wrapText="1"/>
    </xf>
    <xf numFmtId="2" fontId="0" fillId="0" borderId="3" xfId="0" applyNumberFormat="1" applyBorder="1" applyAlignment="1">
      <alignment wrapText="1"/>
    </xf>
    <xf numFmtId="0" fontId="44" fillId="0" borderId="9" xfId="0" applyFont="1" applyFill="1" applyBorder="1" applyAlignment="1">
      <alignment horizontal="center" wrapText="1"/>
    </xf>
    <xf numFmtId="10" fontId="0" fillId="0" borderId="25" xfId="10" applyNumberFormat="1" applyFont="1" applyBorder="1" applyAlignment="1">
      <alignment wrapText="1"/>
    </xf>
    <xf numFmtId="10" fontId="0" fillId="0" borderId="0" xfId="10" applyNumberFormat="1" applyFont="1" applyBorder="1" applyAlignment="1">
      <alignment wrapText="1"/>
    </xf>
    <xf numFmtId="0" fontId="50" fillId="0" borderId="75" xfId="0" applyFont="1" applyFill="1" applyBorder="1" applyAlignment="1"/>
    <xf numFmtId="0" fontId="44" fillId="0" borderId="47" xfId="0" applyFont="1" applyFill="1" applyBorder="1" applyAlignment="1">
      <alignment horizontal="center" wrapText="1"/>
    </xf>
    <xf numFmtId="2" fontId="0" fillId="0" borderId="47" xfId="0" applyNumberFormat="1" applyBorder="1" applyAlignment="1">
      <alignment wrapText="1"/>
    </xf>
    <xf numFmtId="2" fontId="0" fillId="0" borderId="77" xfId="0" applyNumberFormat="1" applyBorder="1" applyAlignment="1">
      <alignment wrapText="1"/>
    </xf>
    <xf numFmtId="0" fontId="0" fillId="0" borderId="2" xfId="0" applyBorder="1" applyAlignment="1">
      <alignment wrapText="1"/>
    </xf>
    <xf numFmtId="0" fontId="0" fillId="0" borderId="3" xfId="0" applyBorder="1" applyAlignment="1">
      <alignment wrapText="1"/>
    </xf>
    <xf numFmtId="0" fontId="50" fillId="8" borderId="4" xfId="0" applyFont="1" applyFill="1" applyBorder="1" applyAlignment="1"/>
    <xf numFmtId="0" fontId="44" fillId="8" borderId="7" xfId="0" applyFont="1" applyFill="1" applyBorder="1" applyAlignment="1">
      <alignment wrapText="1"/>
    </xf>
    <xf numFmtId="0" fontId="44" fillId="8" borderId="7" xfId="0" applyFont="1" applyFill="1" applyBorder="1" applyAlignment="1">
      <alignment horizontal="center" wrapText="1"/>
    </xf>
    <xf numFmtId="2" fontId="0" fillId="8" borderId="7" xfId="0" applyNumberFormat="1" applyFill="1" applyBorder="1" applyAlignment="1">
      <alignment wrapText="1"/>
    </xf>
    <xf numFmtId="0" fontId="50" fillId="8" borderId="7" xfId="0" applyFont="1" applyFill="1" applyBorder="1" applyAlignment="1">
      <alignment horizontal="center" wrapText="1"/>
    </xf>
    <xf numFmtId="42" fontId="56" fillId="0" borderId="66" xfId="12" applyFont="1" applyFill="1" applyBorder="1" applyAlignment="1">
      <alignment horizontal="center" wrapText="1"/>
    </xf>
    <xf numFmtId="2" fontId="0" fillId="0" borderId="9" xfId="0" applyNumberFormat="1" applyBorder="1" applyAlignment="1">
      <alignment vertical="top" wrapText="1"/>
    </xf>
    <xf numFmtId="14" fontId="0" fillId="0" borderId="0" xfId="0" applyNumberFormat="1"/>
    <xf numFmtId="1" fontId="12" fillId="0" borderId="11" xfId="0" applyNumberFormat="1" applyFont="1" applyBorder="1" applyAlignment="1">
      <alignment horizontal="center" wrapText="1"/>
    </xf>
    <xf numFmtId="167" fontId="8" fillId="0" borderId="9" xfId="2" applyFont="1" applyBorder="1" applyAlignment="1">
      <alignment wrapText="1"/>
    </xf>
    <xf numFmtId="0" fontId="5" fillId="0" borderId="25" xfId="0" applyFont="1" applyBorder="1" applyAlignment="1">
      <alignment wrapText="1"/>
    </xf>
    <xf numFmtId="0" fontId="8" fillId="0" borderId="0" xfId="0" applyFont="1" applyAlignment="1">
      <alignment wrapText="1"/>
    </xf>
    <xf numFmtId="0" fontId="8" fillId="0" borderId="0" xfId="0" applyFont="1" applyBorder="1" applyAlignment="1">
      <alignment wrapText="1"/>
    </xf>
    <xf numFmtId="167" fontId="8" fillId="0" borderId="9" xfId="2" applyFont="1" applyBorder="1" applyAlignment="1">
      <alignment vertical="center" wrapText="1"/>
    </xf>
    <xf numFmtId="167" fontId="22" fillId="0" borderId="9" xfId="2" applyFont="1" applyBorder="1" applyAlignment="1">
      <alignment wrapText="1"/>
    </xf>
    <xf numFmtId="165" fontId="0" fillId="8" borderId="71" xfId="1" applyFont="1" applyFill="1" applyBorder="1"/>
    <xf numFmtId="165" fontId="0" fillId="8" borderId="70" xfId="1" applyFont="1" applyFill="1" applyBorder="1"/>
    <xf numFmtId="0" fontId="43" fillId="0" borderId="15" xfId="0" applyFont="1" applyBorder="1" applyAlignment="1"/>
    <xf numFmtId="0" fontId="43" fillId="0" borderId="22" xfId="0" applyFont="1" applyBorder="1" applyAlignment="1"/>
    <xf numFmtId="0" fontId="50" fillId="0" borderId="0" xfId="0" applyFont="1" applyFill="1" applyBorder="1" applyAlignment="1">
      <alignment horizontal="center" wrapText="1"/>
    </xf>
    <xf numFmtId="2" fontId="0" fillId="0" borderId="0" xfId="0" applyNumberFormat="1" applyFill="1" applyBorder="1" applyAlignment="1">
      <alignment wrapText="1"/>
    </xf>
    <xf numFmtId="42" fontId="56" fillId="0" borderId="0" xfId="12" applyFont="1" applyFill="1" applyBorder="1" applyAlignment="1">
      <alignment horizontal="center" wrapText="1"/>
    </xf>
    <xf numFmtId="0" fontId="50" fillId="7" borderId="75" xfId="0" applyFont="1" applyFill="1" applyBorder="1" applyAlignment="1"/>
    <xf numFmtId="0" fontId="44" fillId="7" borderId="47" xfId="0" applyFont="1" applyFill="1" applyBorder="1" applyAlignment="1">
      <alignment wrapText="1"/>
    </xf>
    <xf numFmtId="0" fontId="50" fillId="7" borderId="47" xfId="0" applyFont="1" applyFill="1" applyBorder="1" applyAlignment="1">
      <alignment horizontal="center" wrapText="1"/>
    </xf>
    <xf numFmtId="0" fontId="44" fillId="7" borderId="47" xfId="0" applyFont="1" applyFill="1" applyBorder="1" applyAlignment="1">
      <alignment horizontal="center" wrapText="1"/>
    </xf>
    <xf numFmtId="2" fontId="0" fillId="7" borderId="47" xfId="0" applyNumberFormat="1" applyFill="1" applyBorder="1" applyAlignment="1">
      <alignment wrapText="1"/>
    </xf>
    <xf numFmtId="41" fontId="2" fillId="0" borderId="16" xfId="11" applyFont="1" applyBorder="1" applyAlignment="1"/>
    <xf numFmtId="49" fontId="25" fillId="7" borderId="45" xfId="11" applyNumberFormat="1" applyFont="1" applyFill="1" applyBorder="1" applyAlignment="1">
      <alignment horizontal="right" wrapText="1"/>
    </xf>
    <xf numFmtId="0" fontId="0" fillId="7" borderId="42" xfId="0" applyFill="1" applyBorder="1" applyAlignment="1">
      <alignment wrapText="1"/>
    </xf>
    <xf numFmtId="0" fontId="0" fillId="7" borderId="43" xfId="0" applyFill="1" applyBorder="1" applyAlignment="1">
      <alignment wrapText="1"/>
    </xf>
    <xf numFmtId="0" fontId="0" fillId="9" borderId="42" xfId="0" applyFill="1" applyBorder="1" applyAlignment="1">
      <alignment wrapText="1"/>
    </xf>
    <xf numFmtId="0" fontId="0" fillId="9" borderId="43" xfId="0" applyFill="1" applyBorder="1" applyAlignment="1">
      <alignment wrapText="1"/>
    </xf>
    <xf numFmtId="0" fontId="50" fillId="9" borderId="45" xfId="0" applyFont="1" applyFill="1" applyBorder="1" applyAlignment="1"/>
    <xf numFmtId="0" fontId="44" fillId="9" borderId="42" xfId="0" applyFont="1" applyFill="1" applyBorder="1" applyAlignment="1">
      <alignment wrapText="1"/>
    </xf>
    <xf numFmtId="0" fontId="44" fillId="9" borderId="43" xfId="0" applyFont="1" applyFill="1" applyBorder="1" applyAlignment="1">
      <alignment wrapText="1"/>
    </xf>
    <xf numFmtId="0" fontId="44" fillId="9" borderId="44" xfId="0" applyFont="1" applyFill="1" applyBorder="1" applyAlignment="1">
      <alignment horizontal="center" wrapText="1"/>
    </xf>
    <xf numFmtId="0" fontId="3" fillId="9" borderId="10" xfId="0" applyFont="1" applyFill="1" applyBorder="1" applyAlignment="1">
      <alignment wrapText="1"/>
    </xf>
    <xf numFmtId="0" fontId="3" fillId="9" borderId="9" xfId="0" applyFont="1" applyFill="1" applyBorder="1" applyAlignment="1">
      <alignment wrapText="1"/>
    </xf>
    <xf numFmtId="0" fontId="56" fillId="7" borderId="43" xfId="0" applyFont="1" applyFill="1" applyBorder="1" applyAlignment="1">
      <alignment horizontal="center" wrapText="1"/>
    </xf>
    <xf numFmtId="0" fontId="2" fillId="0" borderId="36" xfId="0" applyFont="1" applyBorder="1" applyAlignment="1">
      <alignment horizontal="center" vertical="center" textRotation="90" wrapText="1"/>
    </xf>
    <xf numFmtId="0" fontId="2" fillId="0" borderId="82" xfId="0" applyFont="1" applyBorder="1" applyAlignment="1">
      <alignment horizontal="center" vertical="center" wrapText="1"/>
    </xf>
    <xf numFmtId="0" fontId="2" fillId="0" borderId="83" xfId="0" applyFont="1" applyBorder="1" applyAlignment="1">
      <alignment horizontal="center" vertical="center" textRotation="90" wrapText="1"/>
    </xf>
    <xf numFmtId="0" fontId="11" fillId="0" borderId="83" xfId="0" applyFont="1" applyBorder="1" applyAlignment="1">
      <alignment horizontal="center" vertical="center" textRotation="90" wrapText="1"/>
    </xf>
    <xf numFmtId="0" fontId="11" fillId="0" borderId="82" xfId="0" applyFont="1" applyBorder="1" applyAlignment="1">
      <alignment horizontal="center" vertical="center" textRotation="90" wrapText="1"/>
    </xf>
    <xf numFmtId="0" fontId="2" fillId="0" borderId="38" xfId="0" applyFont="1" applyBorder="1" applyAlignment="1">
      <alignment horizontal="center" vertical="center" textRotation="90" wrapText="1"/>
    </xf>
    <xf numFmtId="1" fontId="12" fillId="0" borderId="1" xfId="0" applyNumberFormat="1" applyFont="1" applyBorder="1" applyAlignment="1">
      <alignment horizontal="center" wrapText="1"/>
    </xf>
    <xf numFmtId="167" fontId="8" fillId="0" borderId="2" xfId="2" applyFont="1" applyBorder="1" applyAlignment="1">
      <alignment wrapText="1"/>
    </xf>
    <xf numFmtId="0" fontId="5" fillId="0" borderId="3" xfId="0" applyFont="1" applyBorder="1" applyAlignment="1">
      <alignment wrapText="1"/>
    </xf>
    <xf numFmtId="0" fontId="8" fillId="0" borderId="2" xfId="0" applyFont="1" applyBorder="1" applyAlignment="1">
      <alignment wrapText="1"/>
    </xf>
    <xf numFmtId="173" fontId="8" fillId="0" borderId="2" xfId="10" applyNumberFormat="1" applyFont="1" applyBorder="1" applyAlignment="1">
      <alignment wrapText="1"/>
    </xf>
    <xf numFmtId="185" fontId="8" fillId="0" borderId="2" xfId="2" applyNumberFormat="1" applyFont="1" applyBorder="1" applyAlignment="1">
      <alignment wrapText="1"/>
    </xf>
    <xf numFmtId="186" fontId="8" fillId="0" borderId="2" xfId="2" applyNumberFormat="1" applyFont="1" applyBorder="1" applyAlignment="1">
      <alignment wrapText="1"/>
    </xf>
    <xf numFmtId="165" fontId="8" fillId="0" borderId="2" xfId="1" applyFont="1" applyBorder="1" applyAlignment="1">
      <alignment wrapText="1"/>
    </xf>
    <xf numFmtId="0" fontId="8" fillId="0" borderId="9" xfId="0" applyFont="1" applyBorder="1" applyAlignment="1">
      <alignment wrapText="1"/>
    </xf>
    <xf numFmtId="173" fontId="8" fillId="0" borderId="9" xfId="10" applyNumberFormat="1" applyFont="1" applyBorder="1" applyAlignment="1">
      <alignment wrapText="1"/>
    </xf>
    <xf numFmtId="185" fontId="8" fillId="0" borderId="9" xfId="2" applyNumberFormat="1" applyFont="1" applyBorder="1" applyAlignment="1">
      <alignment wrapText="1"/>
    </xf>
    <xf numFmtId="186" fontId="8" fillId="0" borderId="9" xfId="2" applyNumberFormat="1" applyFont="1" applyBorder="1" applyAlignment="1">
      <alignment wrapText="1"/>
    </xf>
    <xf numFmtId="165" fontId="8" fillId="0" borderId="9" xfId="1" applyFont="1" applyBorder="1" applyAlignment="1">
      <alignment wrapText="1"/>
    </xf>
    <xf numFmtId="187" fontId="8" fillId="0" borderId="9" xfId="1" applyNumberFormat="1" applyFont="1" applyBorder="1" applyAlignment="1">
      <alignment wrapText="1"/>
    </xf>
    <xf numFmtId="173" fontId="22" fillId="0" borderId="9" xfId="10" applyNumberFormat="1" applyFont="1" applyBorder="1" applyAlignment="1">
      <alignment wrapText="1"/>
    </xf>
    <xf numFmtId="182" fontId="8" fillId="0" borderId="9" xfId="2" applyNumberFormat="1" applyFont="1" applyBorder="1" applyAlignment="1">
      <alignment wrapText="1"/>
    </xf>
    <xf numFmtId="0" fontId="8" fillId="0" borderId="7" xfId="0" applyFont="1" applyBorder="1"/>
    <xf numFmtId="173" fontId="1" fillId="0" borderId="7" xfId="0" applyNumberFormat="1" applyFont="1" applyBorder="1"/>
    <xf numFmtId="186" fontId="8" fillId="0" borderId="7" xfId="2" applyNumberFormat="1" applyFont="1" applyBorder="1"/>
    <xf numFmtId="0" fontId="56" fillId="8" borderId="43" xfId="0" applyFont="1" applyFill="1" applyBorder="1" applyAlignment="1">
      <alignment horizontal="center" wrapText="1"/>
    </xf>
    <xf numFmtId="0" fontId="1" fillId="0" borderId="0" xfId="6" applyFont="1" applyAlignment="1"/>
    <xf numFmtId="43" fontId="1" fillId="0" borderId="0" xfId="6" applyNumberFormat="1" applyFont="1" applyAlignment="1"/>
    <xf numFmtId="41" fontId="1" fillId="0" borderId="0" xfId="11" applyFont="1" applyAlignment="1"/>
    <xf numFmtId="0" fontId="0" fillId="0" borderId="0" xfId="0" applyFont="1"/>
    <xf numFmtId="0" fontId="0" fillId="0" borderId="0" xfId="0" applyFont="1" applyBorder="1"/>
    <xf numFmtId="165" fontId="57" fillId="0" borderId="9" xfId="1" applyFont="1" applyBorder="1" applyAlignment="1">
      <alignment wrapText="1"/>
    </xf>
    <xf numFmtId="187" fontId="57" fillId="0" borderId="9" xfId="1" applyNumberFormat="1" applyFont="1" applyBorder="1" applyAlignment="1">
      <alignment wrapText="1"/>
    </xf>
    <xf numFmtId="0" fontId="48" fillId="0" borderId="0" xfId="0" applyFont="1"/>
    <xf numFmtId="0" fontId="2" fillId="0" borderId="84" xfId="0" applyFont="1" applyFill="1" applyBorder="1" applyAlignment="1">
      <alignment horizontal="center" vertical="center" textRotation="90" wrapText="1"/>
    </xf>
    <xf numFmtId="0" fontId="9" fillId="0" borderId="0" xfId="6" applyFont="1" applyBorder="1" applyAlignment="1">
      <alignment horizontal="left"/>
    </xf>
    <xf numFmtId="0" fontId="14" fillId="0" borderId="0" xfId="6" applyFont="1" applyAlignment="1">
      <alignment horizontal="left"/>
    </xf>
    <xf numFmtId="0" fontId="14" fillId="0" borderId="0" xfId="6" applyFont="1" applyBorder="1" applyAlignment="1">
      <alignment horizontal="left"/>
    </xf>
    <xf numFmtId="0" fontId="1" fillId="0" borderId="0" xfId="6" applyBorder="1" applyAlignment="1">
      <alignment horizontal="left"/>
    </xf>
    <xf numFmtId="14" fontId="0" fillId="0" borderId="0" xfId="0" applyNumberFormat="1" applyFont="1" applyAlignment="1">
      <alignment wrapText="1"/>
    </xf>
    <xf numFmtId="0" fontId="0" fillId="0" borderId="0" xfId="0" applyFont="1" applyAlignment="1">
      <alignment wrapText="1"/>
    </xf>
    <xf numFmtId="41" fontId="0" fillId="3" borderId="0" xfId="11" applyFont="1" applyFill="1"/>
    <xf numFmtId="10" fontId="0" fillId="0" borderId="51" xfId="10" applyNumberFormat="1" applyFont="1" applyBorder="1"/>
    <xf numFmtId="181" fontId="1" fillId="0" borderId="0" xfId="6" applyNumberFormat="1"/>
    <xf numFmtId="188" fontId="0" fillId="0" borderId="0" xfId="0" applyNumberFormat="1"/>
    <xf numFmtId="0" fontId="0" fillId="0" borderId="0" xfId="0" applyFont="1" applyAlignment="1">
      <alignment vertical="top" wrapText="1"/>
    </xf>
    <xf numFmtId="14" fontId="0" fillId="0" borderId="0" xfId="0" applyNumberFormat="1" applyFont="1" applyAlignment="1">
      <alignment vertical="top" wrapText="1"/>
    </xf>
    <xf numFmtId="41" fontId="0" fillId="0" borderId="0" xfId="0" applyNumberFormat="1" applyFont="1" applyAlignment="1">
      <alignment wrapText="1"/>
    </xf>
    <xf numFmtId="181" fontId="1" fillId="0" borderId="0" xfId="6" applyNumberFormat="1" applyBorder="1"/>
    <xf numFmtId="14" fontId="59" fillId="0" borderId="0" xfId="0" applyNumberFormat="1" applyFont="1" applyAlignment="1">
      <alignment vertical="top" wrapText="1"/>
    </xf>
    <xf numFmtId="184" fontId="59" fillId="0" borderId="0" xfId="11" applyNumberFormat="1" applyFont="1" applyAlignment="1">
      <alignment vertical="top" wrapText="1"/>
    </xf>
    <xf numFmtId="0" fontId="58" fillId="0" borderId="45" xfId="0" applyFont="1" applyBorder="1" applyAlignment="1"/>
    <xf numFmtId="41" fontId="0" fillId="0" borderId="9" xfId="11" applyFont="1" applyBorder="1" applyAlignment="1">
      <alignment vertical="top" wrapText="1"/>
    </xf>
    <xf numFmtId="1" fontId="0" fillId="0" borderId="9" xfId="0" applyNumberFormat="1" applyBorder="1" applyAlignment="1">
      <alignment vertical="top" wrapText="1"/>
    </xf>
    <xf numFmtId="14" fontId="59" fillId="0" borderId="0" xfId="0" applyNumberFormat="1" applyFont="1" applyAlignment="1">
      <alignment wrapText="1"/>
    </xf>
    <xf numFmtId="0" fontId="0" fillId="0" borderId="0" xfId="0" applyFont="1" applyAlignment="1">
      <alignment horizontal="right" wrapText="1"/>
    </xf>
    <xf numFmtId="184" fontId="0" fillId="0" borderId="0" xfId="0" applyNumberFormat="1" applyFont="1" applyAlignment="1">
      <alignment wrapText="1"/>
    </xf>
    <xf numFmtId="0" fontId="0" fillId="0" borderId="0" xfId="0" applyFont="1" applyAlignment="1">
      <alignment horizontal="center" wrapText="1"/>
    </xf>
    <xf numFmtId="0" fontId="0" fillId="0" borderId="0" xfId="0" applyFont="1" applyAlignment="1">
      <alignment horizontal="right"/>
    </xf>
    <xf numFmtId="0" fontId="0" fillId="0" borderId="9" xfId="0" applyBorder="1" applyAlignment="1">
      <alignment horizontal="right" vertical="top" wrapText="1"/>
    </xf>
    <xf numFmtId="14" fontId="0" fillId="0" borderId="0" xfId="0" applyNumberFormat="1" applyAlignment="1">
      <alignment wrapText="1"/>
    </xf>
    <xf numFmtId="0" fontId="56" fillId="9" borderId="43" xfId="0" applyFont="1" applyFill="1" applyBorder="1" applyAlignment="1">
      <alignment horizontal="center" wrapText="1"/>
    </xf>
    <xf numFmtId="0" fontId="50" fillId="9" borderId="75" xfId="0" applyFont="1" applyFill="1" applyBorder="1" applyAlignment="1"/>
    <xf numFmtId="0" fontId="44" fillId="9" borderId="47" xfId="0" applyFont="1" applyFill="1" applyBorder="1" applyAlignment="1">
      <alignment wrapText="1"/>
    </xf>
    <xf numFmtId="0" fontId="50" fillId="9" borderId="47" xfId="0" applyFont="1" applyFill="1" applyBorder="1" applyAlignment="1">
      <alignment horizontal="center" wrapText="1"/>
    </xf>
    <xf numFmtId="0" fontId="44" fillId="9" borderId="47" xfId="0" applyFont="1" applyFill="1" applyBorder="1" applyAlignment="1">
      <alignment horizontal="center" wrapText="1"/>
    </xf>
    <xf numFmtId="2" fontId="0" fillId="9" borderId="47" xfId="0" applyNumberFormat="1" applyFill="1" applyBorder="1" applyAlignment="1">
      <alignment wrapText="1"/>
    </xf>
    <xf numFmtId="49" fontId="25" fillId="9" borderId="45" xfId="11" applyNumberFormat="1" applyFont="1" applyFill="1" applyBorder="1" applyAlignment="1">
      <alignment horizontal="left"/>
    </xf>
    <xf numFmtId="49" fontId="25" fillId="10" borderId="45" xfId="11" applyNumberFormat="1" applyFont="1" applyFill="1" applyBorder="1" applyAlignment="1">
      <alignment horizontal="left"/>
    </xf>
    <xf numFmtId="0" fontId="0" fillId="10" borderId="42" xfId="0" applyFill="1" applyBorder="1" applyAlignment="1">
      <alignment wrapText="1"/>
    </xf>
    <xf numFmtId="0" fontId="0" fillId="10" borderId="43" xfId="0" applyFill="1" applyBorder="1" applyAlignment="1">
      <alignment wrapText="1"/>
    </xf>
    <xf numFmtId="0" fontId="50" fillId="10" borderId="45" xfId="0" applyFont="1" applyFill="1" applyBorder="1" applyAlignment="1"/>
    <xf numFmtId="0" fontId="44" fillId="10" borderId="42" xfId="0" applyFont="1" applyFill="1" applyBorder="1" applyAlignment="1">
      <alignment wrapText="1"/>
    </xf>
    <xf numFmtId="0" fontId="44" fillId="10" borderId="43" xfId="0" applyFont="1" applyFill="1" applyBorder="1" applyAlignment="1">
      <alignment wrapText="1"/>
    </xf>
    <xf numFmtId="0" fontId="44" fillId="10" borderId="44" xfId="0" applyFont="1" applyFill="1" applyBorder="1" applyAlignment="1">
      <alignment horizontal="center" wrapText="1"/>
    </xf>
    <xf numFmtId="0" fontId="3" fillId="10" borderId="10" xfId="0" applyFont="1" applyFill="1" applyBorder="1" applyAlignment="1">
      <alignment wrapText="1"/>
    </xf>
    <xf numFmtId="0" fontId="3" fillId="10" borderId="9" xfId="0" applyFont="1" applyFill="1" applyBorder="1" applyAlignment="1">
      <alignment wrapText="1"/>
    </xf>
    <xf numFmtId="0" fontId="56" fillId="10" borderId="43" xfId="0" applyFont="1" applyFill="1" applyBorder="1" applyAlignment="1">
      <alignment horizontal="center" wrapText="1"/>
    </xf>
    <xf numFmtId="0" fontId="50" fillId="10" borderId="75" xfId="0" applyFont="1" applyFill="1" applyBorder="1" applyAlignment="1"/>
    <xf numFmtId="0" fontId="44" fillId="10" borderId="47" xfId="0" applyFont="1" applyFill="1" applyBorder="1" applyAlignment="1">
      <alignment wrapText="1"/>
    </xf>
    <xf numFmtId="0" fontId="50" fillId="10" borderId="47" xfId="0" applyFont="1" applyFill="1" applyBorder="1" applyAlignment="1">
      <alignment horizontal="center" wrapText="1"/>
    </xf>
    <xf numFmtId="0" fontId="44" fillId="10" borderId="47" xfId="0" applyFont="1" applyFill="1" applyBorder="1" applyAlignment="1">
      <alignment horizontal="center" wrapText="1"/>
    </xf>
    <xf numFmtId="2" fontId="0" fillId="10" borderId="47" xfId="0" applyNumberFormat="1" applyFill="1" applyBorder="1" applyAlignment="1">
      <alignment wrapText="1"/>
    </xf>
    <xf numFmtId="184" fontId="35" fillId="0" borderId="0" xfId="11" applyNumberFormat="1" applyFont="1" applyAlignment="1">
      <alignment vertical="top" wrapText="1"/>
    </xf>
    <xf numFmtId="14" fontId="35" fillId="0" borderId="0" xfId="0" applyNumberFormat="1" applyFont="1" applyAlignment="1">
      <alignment wrapText="1"/>
    </xf>
    <xf numFmtId="0" fontId="0" fillId="11" borderId="9" xfId="0" applyFill="1" applyBorder="1" applyAlignment="1">
      <alignment vertical="top" wrapText="1"/>
    </xf>
    <xf numFmtId="0" fontId="0" fillId="11" borderId="9" xfId="0" applyFill="1" applyBorder="1" applyAlignment="1">
      <alignment wrapText="1"/>
    </xf>
    <xf numFmtId="41" fontId="0" fillId="0" borderId="0" xfId="0" applyNumberFormat="1" applyFont="1" applyAlignment="1">
      <alignment vertical="top" wrapText="1"/>
    </xf>
    <xf numFmtId="17" fontId="0" fillId="0" borderId="0" xfId="0" applyNumberFormat="1"/>
    <xf numFmtId="0" fontId="0" fillId="11" borderId="0" xfId="0" applyFill="1"/>
    <xf numFmtId="15" fontId="0" fillId="11" borderId="0" xfId="0" applyNumberFormat="1" applyFill="1"/>
    <xf numFmtId="14" fontId="0" fillId="11" borderId="0" xfId="0" applyNumberFormat="1" applyFill="1"/>
    <xf numFmtId="0" fontId="50" fillId="9" borderId="45" xfId="0" applyFont="1" applyFill="1" applyBorder="1" applyAlignment="1">
      <alignment vertical="top"/>
    </xf>
    <xf numFmtId="0" fontId="44" fillId="9" borderId="42" xfId="0" applyFont="1" applyFill="1" applyBorder="1" applyAlignment="1">
      <alignment vertical="top" wrapText="1"/>
    </xf>
    <xf numFmtId="0" fontId="44" fillId="9" borderId="43" xfId="0" applyFont="1" applyFill="1" applyBorder="1" applyAlignment="1">
      <alignment vertical="top" wrapText="1"/>
    </xf>
    <xf numFmtId="167" fontId="44" fillId="0" borderId="0" xfId="2" applyFont="1" applyFill="1" applyBorder="1" applyAlignment="1">
      <alignment vertical="top" wrapText="1"/>
    </xf>
    <xf numFmtId="0" fontId="44" fillId="0" borderId="0" xfId="0" applyFont="1" applyFill="1" applyBorder="1" applyAlignment="1">
      <alignment vertical="top" wrapText="1"/>
    </xf>
    <xf numFmtId="14" fontId="0" fillId="0" borderId="0" xfId="0" applyNumberFormat="1" applyAlignment="1">
      <alignment vertical="top" wrapText="1"/>
    </xf>
    <xf numFmtId="0" fontId="58" fillId="9" borderId="44" xfId="0" applyFont="1" applyFill="1" applyBorder="1" applyAlignment="1">
      <alignment horizontal="left" vertical="top" wrapText="1"/>
    </xf>
    <xf numFmtId="2" fontId="35" fillId="0" borderId="0" xfId="0" applyNumberFormat="1" applyFont="1" applyAlignment="1">
      <alignment vertical="top" wrapText="1"/>
    </xf>
    <xf numFmtId="2" fontId="60" fillId="0" borderId="0" xfId="0" applyNumberFormat="1" applyFont="1" applyAlignment="1">
      <alignment vertical="top" wrapText="1"/>
    </xf>
    <xf numFmtId="0" fontId="0" fillId="0" borderId="0" xfId="0" applyAlignment="1">
      <alignment vertical="center" wrapText="1"/>
    </xf>
    <xf numFmtId="0" fontId="0" fillId="0" borderId="9" xfId="0" applyBorder="1" applyAlignment="1">
      <alignment vertical="center" wrapText="1"/>
    </xf>
    <xf numFmtId="14" fontId="0" fillId="0" borderId="9" xfId="0" applyNumberFormat="1" applyBorder="1" applyAlignment="1">
      <alignment vertical="center" wrapText="1"/>
    </xf>
    <xf numFmtId="0" fontId="44" fillId="0" borderId="63" xfId="0" applyFont="1" applyFill="1" applyBorder="1" applyAlignment="1"/>
    <xf numFmtId="0" fontId="0" fillId="0" borderId="9" xfId="0" applyBorder="1" applyAlignment="1">
      <alignment horizontal="center" vertical="center" wrapText="1"/>
    </xf>
    <xf numFmtId="9" fontId="36" fillId="12" borderId="0" xfId="0" applyNumberFormat="1" applyFont="1" applyFill="1" applyBorder="1" applyAlignment="1">
      <alignment wrapText="1"/>
    </xf>
    <xf numFmtId="0" fontId="35" fillId="12" borderId="0" xfId="0" applyFont="1" applyFill="1" applyAlignment="1">
      <alignment wrapText="1"/>
    </xf>
    <xf numFmtId="0" fontId="0" fillId="12" borderId="0" xfId="0" applyFont="1" applyFill="1" applyAlignment="1">
      <alignment wrapText="1"/>
    </xf>
    <xf numFmtId="0" fontId="0" fillId="0" borderId="0" xfId="0" applyFont="1" applyAlignment="1">
      <alignment horizontal="centerContinuous" wrapText="1"/>
    </xf>
    <xf numFmtId="0" fontId="0" fillId="0" borderId="42" xfId="0" applyFont="1" applyBorder="1" applyAlignment="1"/>
    <xf numFmtId="0" fontId="12" fillId="6" borderId="10" xfId="0" applyFont="1" applyFill="1" applyBorder="1" applyAlignment="1">
      <alignment wrapText="1"/>
    </xf>
    <xf numFmtId="167" fontId="0" fillId="0" borderId="9" xfId="2" applyFont="1" applyBorder="1" applyAlignment="1">
      <alignment vertical="top" wrapText="1"/>
    </xf>
    <xf numFmtId="167" fontId="0" fillId="0" borderId="47" xfId="2" applyFont="1" applyBorder="1" applyAlignment="1">
      <alignment wrapText="1"/>
    </xf>
    <xf numFmtId="167" fontId="0" fillId="0" borderId="42" xfId="2" applyFont="1" applyBorder="1" applyAlignment="1">
      <alignment wrapText="1"/>
    </xf>
    <xf numFmtId="0" fontId="40" fillId="0" borderId="0" xfId="0" applyFont="1" applyFill="1" applyBorder="1" applyAlignment="1">
      <alignment wrapText="1"/>
    </xf>
    <xf numFmtId="0" fontId="12" fillId="6" borderId="9" xfId="0" applyFont="1" applyFill="1" applyBorder="1" applyAlignment="1">
      <alignment wrapText="1"/>
    </xf>
    <xf numFmtId="0" fontId="0" fillId="0" borderId="9" xfId="0" applyFont="1" applyBorder="1" applyAlignment="1">
      <alignment vertical="top" wrapText="1"/>
    </xf>
    <xf numFmtId="0" fontId="0" fillId="0" borderId="9" xfId="0" applyFont="1" applyBorder="1" applyAlignment="1">
      <alignment wrapText="1"/>
    </xf>
    <xf numFmtId="0" fontId="0" fillId="0" borderId="9" xfId="0" applyFont="1" applyBorder="1" applyAlignment="1">
      <alignment horizontal="right" vertical="top"/>
    </xf>
    <xf numFmtId="0" fontId="0" fillId="7" borderId="42" xfId="0" applyFont="1" applyFill="1" applyBorder="1" applyAlignment="1">
      <alignment wrapText="1"/>
    </xf>
    <xf numFmtId="0" fontId="0" fillId="0" borderId="15" xfId="0" applyFont="1" applyBorder="1" applyAlignment="1"/>
    <xf numFmtId="0" fontId="41" fillId="0" borderId="9" xfId="0" applyFont="1" applyBorder="1" applyAlignment="1">
      <alignment wrapText="1"/>
    </xf>
    <xf numFmtId="0" fontId="0" fillId="0" borderId="0" xfId="0" applyFont="1" applyFill="1" applyBorder="1" applyAlignment="1">
      <alignment wrapText="1"/>
    </xf>
    <xf numFmtId="0" fontId="0" fillId="10" borderId="42" xfId="0" applyFont="1" applyFill="1" applyBorder="1" applyAlignment="1">
      <alignment wrapText="1"/>
    </xf>
    <xf numFmtId="0" fontId="12" fillId="10" borderId="9" xfId="0" applyFont="1" applyFill="1" applyBorder="1" applyAlignment="1">
      <alignment wrapText="1"/>
    </xf>
    <xf numFmtId="0" fontId="0" fillId="0" borderId="9" xfId="0" applyFont="1" applyBorder="1" applyAlignment="1">
      <alignment vertical="center" wrapText="1"/>
    </xf>
    <xf numFmtId="0" fontId="0" fillId="0" borderId="0" xfId="0" applyFont="1" applyAlignment="1">
      <alignment vertical="center" wrapText="1"/>
    </xf>
    <xf numFmtId="0" fontId="0" fillId="9" borderId="42" xfId="0" applyFont="1" applyFill="1" applyBorder="1" applyAlignment="1">
      <alignment wrapText="1"/>
    </xf>
    <xf numFmtId="0" fontId="40" fillId="0" borderId="0" xfId="0" applyFont="1" applyFill="1" applyBorder="1" applyAlignment="1">
      <alignment vertical="top" wrapText="1"/>
    </xf>
    <xf numFmtId="0" fontId="12" fillId="9" borderId="9" xfId="0" applyFont="1" applyFill="1" applyBorder="1" applyAlignment="1">
      <alignment wrapText="1"/>
    </xf>
    <xf numFmtId="1" fontId="0" fillId="0" borderId="9" xfId="0" applyNumberFormat="1" applyBorder="1" applyAlignment="1">
      <alignment horizontal="center" vertical="center" wrapText="1"/>
    </xf>
    <xf numFmtId="0" fontId="35" fillId="0" borderId="9" xfId="0" applyFont="1" applyBorder="1" applyAlignment="1">
      <alignment wrapText="1"/>
    </xf>
    <xf numFmtId="0" fontId="3" fillId="12" borderId="9" xfId="0" applyFont="1" applyFill="1" applyBorder="1" applyAlignment="1">
      <alignment wrapText="1"/>
    </xf>
    <xf numFmtId="0" fontId="58" fillId="9" borderId="44" xfId="0" applyFont="1" applyFill="1" applyBorder="1" applyAlignment="1">
      <alignment horizontal="left" wrapText="1"/>
    </xf>
    <xf numFmtId="0" fontId="50" fillId="10" borderId="45" xfId="0" applyFont="1" applyFill="1" applyBorder="1" applyAlignment="1">
      <alignment vertical="top"/>
    </xf>
    <xf numFmtId="0" fontId="44" fillId="10" borderId="42" xfId="0" applyFont="1" applyFill="1" applyBorder="1" applyAlignment="1">
      <alignment vertical="top" wrapText="1"/>
    </xf>
    <xf numFmtId="0" fontId="44" fillId="10" borderId="43" xfId="0" applyFont="1" applyFill="1" applyBorder="1" applyAlignment="1">
      <alignment vertical="top" wrapText="1"/>
    </xf>
    <xf numFmtId="0" fontId="58" fillId="10" borderId="0" xfId="0" applyFont="1" applyFill="1" applyBorder="1" applyAlignment="1">
      <alignment horizontal="left" vertical="top" wrapText="1"/>
    </xf>
    <xf numFmtId="0" fontId="44" fillId="10" borderId="42" xfId="0" applyFont="1" applyFill="1" applyBorder="1" applyAlignment="1">
      <alignment vertical="top"/>
    </xf>
    <xf numFmtId="49" fontId="25" fillId="13" borderId="45" xfId="11" applyNumberFormat="1" applyFont="1" applyFill="1" applyBorder="1" applyAlignment="1">
      <alignment horizontal="left"/>
    </xf>
    <xf numFmtId="0" fontId="0" fillId="13" borderId="42" xfId="0" applyFill="1" applyBorder="1" applyAlignment="1">
      <alignment wrapText="1"/>
    </xf>
    <xf numFmtId="0" fontId="0" fillId="13" borderId="42" xfId="0" applyFont="1" applyFill="1" applyBorder="1" applyAlignment="1">
      <alignment wrapText="1"/>
    </xf>
    <xf numFmtId="0" fontId="0" fillId="13" borderId="43" xfId="0" applyFill="1" applyBorder="1" applyAlignment="1">
      <alignment wrapText="1"/>
    </xf>
    <xf numFmtId="0" fontId="44" fillId="13" borderId="42" xfId="0" applyFont="1" applyFill="1" applyBorder="1" applyAlignment="1">
      <alignment vertical="top" wrapText="1"/>
    </xf>
    <xf numFmtId="0" fontId="44" fillId="13" borderId="42" xfId="0" applyFont="1" applyFill="1" applyBorder="1" applyAlignment="1">
      <alignment vertical="top"/>
    </xf>
    <xf numFmtId="0" fontId="44" fillId="13" borderId="43" xfId="0" applyFont="1" applyFill="1" applyBorder="1" applyAlignment="1">
      <alignment vertical="top" wrapText="1"/>
    </xf>
    <xf numFmtId="0" fontId="44" fillId="13" borderId="42" xfId="0" applyFont="1" applyFill="1" applyBorder="1" applyAlignment="1">
      <alignment wrapText="1"/>
    </xf>
    <xf numFmtId="0" fontId="44" fillId="13" borderId="43" xfId="0" applyFont="1" applyFill="1" applyBorder="1" applyAlignment="1">
      <alignment wrapText="1"/>
    </xf>
    <xf numFmtId="0" fontId="44" fillId="13" borderId="44" xfId="0" applyFont="1" applyFill="1" applyBorder="1" applyAlignment="1">
      <alignment horizontal="center" wrapText="1"/>
    </xf>
    <xf numFmtId="0" fontId="58" fillId="13" borderId="0" xfId="0" applyFont="1" applyFill="1" applyBorder="1" applyAlignment="1">
      <alignment horizontal="left" vertical="top" wrapText="1"/>
    </xf>
    <xf numFmtId="0" fontId="50" fillId="13" borderId="45" xfId="0" applyFont="1" applyFill="1" applyBorder="1" applyAlignment="1">
      <alignment vertical="top"/>
    </xf>
    <xf numFmtId="0" fontId="50" fillId="13" borderId="45" xfId="0" applyFont="1" applyFill="1" applyBorder="1" applyAlignment="1"/>
    <xf numFmtId="0" fontId="3" fillId="13" borderId="10" xfId="0" applyFont="1" applyFill="1" applyBorder="1" applyAlignment="1">
      <alignment wrapText="1"/>
    </xf>
    <xf numFmtId="0" fontId="12" fillId="13" borderId="9" xfId="0" applyFont="1" applyFill="1" applyBorder="1" applyAlignment="1">
      <alignment wrapText="1"/>
    </xf>
    <xf numFmtId="0" fontId="3" fillId="13" borderId="9" xfId="0" applyFont="1" applyFill="1" applyBorder="1" applyAlignment="1">
      <alignment wrapText="1"/>
    </xf>
    <xf numFmtId="0" fontId="56" fillId="13" borderId="43" xfId="0" applyFont="1" applyFill="1" applyBorder="1" applyAlignment="1">
      <alignment horizontal="center" wrapText="1"/>
    </xf>
    <xf numFmtId="0" fontId="50" fillId="13" borderId="75" xfId="0" applyFont="1" applyFill="1" applyBorder="1" applyAlignment="1"/>
    <xf numFmtId="0" fontId="44" fillId="13" borderId="47" xfId="0" applyFont="1" applyFill="1" applyBorder="1" applyAlignment="1">
      <alignment wrapText="1"/>
    </xf>
    <xf numFmtId="0" fontId="50" fillId="13" borderId="47" xfId="0" applyFont="1" applyFill="1" applyBorder="1" applyAlignment="1">
      <alignment horizontal="center" wrapText="1"/>
    </xf>
    <xf numFmtId="0" fontId="44" fillId="13" borderId="47" xfId="0" applyFont="1" applyFill="1" applyBorder="1" applyAlignment="1">
      <alignment horizontal="center" wrapText="1"/>
    </xf>
    <xf numFmtId="2" fontId="0" fillId="13" borderId="47" xfId="0" applyNumberFormat="1" applyFill="1" applyBorder="1" applyAlignment="1">
      <alignment wrapText="1"/>
    </xf>
    <xf numFmtId="49" fontId="25" fillId="14" borderId="45" xfId="11" applyNumberFormat="1" applyFont="1" applyFill="1" applyBorder="1" applyAlignment="1">
      <alignment horizontal="left"/>
    </xf>
    <xf numFmtId="0" fontId="0" fillId="14" borderId="42" xfId="0" applyFill="1" applyBorder="1" applyAlignment="1">
      <alignment wrapText="1"/>
    </xf>
    <xf numFmtId="0" fontId="0" fillId="14" borderId="42" xfId="0" applyFont="1" applyFill="1" applyBorder="1" applyAlignment="1">
      <alignment wrapText="1"/>
    </xf>
    <xf numFmtId="0" fontId="0" fillId="14" borderId="43" xfId="0" applyFill="1" applyBorder="1" applyAlignment="1">
      <alignment wrapText="1"/>
    </xf>
    <xf numFmtId="0" fontId="50" fillId="14" borderId="45" xfId="0" applyFont="1" applyFill="1" applyBorder="1" applyAlignment="1"/>
    <xf numFmtId="0" fontId="44" fillId="14" borderId="42" xfId="0" applyFont="1" applyFill="1" applyBorder="1" applyAlignment="1">
      <alignment wrapText="1"/>
    </xf>
    <xf numFmtId="0" fontId="44" fillId="14" borderId="43" xfId="0" applyFont="1" applyFill="1" applyBorder="1" applyAlignment="1">
      <alignment wrapText="1"/>
    </xf>
    <xf numFmtId="0" fontId="44" fillId="14" borderId="44" xfId="0" applyFont="1" applyFill="1" applyBorder="1" applyAlignment="1">
      <alignment horizontal="center" wrapText="1"/>
    </xf>
    <xf numFmtId="0" fontId="3" fillId="14" borderId="10" xfId="0" applyFont="1" applyFill="1" applyBorder="1" applyAlignment="1">
      <alignment wrapText="1"/>
    </xf>
    <xf numFmtId="0" fontId="12" fillId="14" borderId="9" xfId="0" applyFont="1" applyFill="1" applyBorder="1" applyAlignment="1">
      <alignment wrapText="1"/>
    </xf>
    <xf numFmtId="0" fontId="3" fillId="14" borderId="9" xfId="0" applyFont="1" applyFill="1" applyBorder="1" applyAlignment="1">
      <alignment wrapText="1"/>
    </xf>
    <xf numFmtId="0" fontId="56" fillId="14" borderId="43" xfId="0" applyFont="1" applyFill="1" applyBorder="1" applyAlignment="1">
      <alignment horizontal="center" wrapText="1"/>
    </xf>
    <xf numFmtId="0" fontId="0" fillId="0" borderId="0" xfId="0" applyFill="1" applyAlignment="1">
      <alignment wrapText="1"/>
    </xf>
    <xf numFmtId="0" fontId="0" fillId="0" borderId="0" xfId="0" applyFill="1" applyAlignment="1">
      <alignment vertical="center" wrapText="1"/>
    </xf>
    <xf numFmtId="0" fontId="50" fillId="14" borderId="75" xfId="0" applyFont="1" applyFill="1" applyBorder="1" applyAlignment="1"/>
    <xf numFmtId="0" fontId="44" fillId="14" borderId="47" xfId="0" applyFont="1" applyFill="1" applyBorder="1" applyAlignment="1">
      <alignment wrapText="1"/>
    </xf>
    <xf numFmtId="0" fontId="50" fillId="14" borderId="47" xfId="0" applyFont="1" applyFill="1" applyBorder="1" applyAlignment="1">
      <alignment horizontal="center" wrapText="1"/>
    </xf>
    <xf numFmtId="0" fontId="44" fillId="14" borderId="47" xfId="0" applyFont="1" applyFill="1" applyBorder="1" applyAlignment="1">
      <alignment horizontal="center" wrapText="1"/>
    </xf>
    <xf numFmtId="2" fontId="0" fillId="14" borderId="47" xfId="0" applyNumberFormat="1" applyFill="1" applyBorder="1" applyAlignment="1">
      <alignment wrapText="1"/>
    </xf>
    <xf numFmtId="0" fontId="50" fillId="14" borderId="45" xfId="0" applyFont="1" applyFill="1" applyBorder="1" applyAlignment="1">
      <alignment vertical="top"/>
    </xf>
    <xf numFmtId="0" fontId="44" fillId="14" borderId="42" xfId="0" applyFont="1" applyFill="1" applyBorder="1" applyAlignment="1">
      <alignment vertical="top" wrapText="1"/>
    </xf>
    <xf numFmtId="0" fontId="44" fillId="14" borderId="42" xfId="0" applyFont="1" applyFill="1" applyBorder="1" applyAlignment="1">
      <alignment vertical="top"/>
    </xf>
    <xf numFmtId="0" fontId="44" fillId="14" borderId="43" xfId="0" applyFont="1" applyFill="1" applyBorder="1" applyAlignment="1">
      <alignment vertical="top" wrapText="1"/>
    </xf>
    <xf numFmtId="0" fontId="58" fillId="14" borderId="0" xfId="0" applyFont="1" applyFill="1" applyBorder="1" applyAlignment="1">
      <alignment horizontal="left" vertical="top" wrapText="1"/>
    </xf>
    <xf numFmtId="0" fontId="1" fillId="0" borderId="0" xfId="6" applyFont="1" applyBorder="1" applyAlignment="1">
      <alignment horizontal="left"/>
    </xf>
    <xf numFmtId="0" fontId="5" fillId="0" borderId="9" xfId="0" applyFont="1" applyBorder="1" applyAlignment="1">
      <alignment wrapText="1"/>
    </xf>
    <xf numFmtId="0" fontId="2" fillId="0" borderId="0" xfId="6" applyFont="1" applyAlignment="1">
      <alignment horizontal="center"/>
    </xf>
    <xf numFmtId="0" fontId="1" fillId="0" borderId="0" xfId="6" applyAlignment="1">
      <alignment horizontal="center" wrapText="1"/>
    </xf>
    <xf numFmtId="0" fontId="2" fillId="0" borderId="0" xfId="6" applyFont="1" applyAlignment="1">
      <alignment horizontal="center" vertical="center"/>
    </xf>
    <xf numFmtId="0" fontId="1" fillId="0" borderId="0" xfId="6" applyFont="1" applyAlignment="1">
      <alignment horizontal="center" vertical="center"/>
    </xf>
    <xf numFmtId="0" fontId="2" fillId="0" borderId="0" xfId="6" applyFont="1" applyAlignment="1">
      <alignment horizontal="center" wrapText="1"/>
    </xf>
    <xf numFmtId="0" fontId="2" fillId="0" borderId="17" xfId="6" applyFont="1" applyBorder="1" applyAlignment="1">
      <alignment horizontal="center" vertical="center" textRotation="90" wrapText="1"/>
    </xf>
    <xf numFmtId="0" fontId="2" fillId="0" borderId="19" xfId="6" applyFont="1" applyBorder="1" applyAlignment="1">
      <alignment horizontal="center" vertical="center" textRotation="90" wrapText="1"/>
    </xf>
    <xf numFmtId="0" fontId="2" fillId="0" borderId="16" xfId="6" applyFont="1" applyBorder="1" applyAlignment="1">
      <alignment horizontal="center" vertical="center" textRotation="90" wrapText="1"/>
    </xf>
    <xf numFmtId="171" fontId="37" fillId="0" borderId="25" xfId="6" applyNumberFormat="1" applyFont="1" applyBorder="1" applyAlignment="1">
      <alignment horizontal="center" vertical="center" textRotation="90" wrapText="1"/>
    </xf>
    <xf numFmtId="171" fontId="37" fillId="0" borderId="23" xfId="6" applyNumberFormat="1" applyFont="1" applyBorder="1" applyAlignment="1">
      <alignment horizontal="center" vertical="center" textRotation="90" wrapText="1"/>
    </xf>
    <xf numFmtId="0" fontId="9" fillId="0" borderId="13" xfId="6" applyFont="1" applyBorder="1" applyAlignment="1">
      <alignment horizontal="center" vertical="center" textRotation="90" wrapText="1"/>
    </xf>
    <xf numFmtId="0" fontId="9" fillId="0" borderId="56" xfId="6" applyFont="1" applyBorder="1" applyAlignment="1">
      <alignment horizontal="center" vertical="center" textRotation="90" wrapText="1"/>
    </xf>
    <xf numFmtId="0" fontId="3" fillId="0" borderId="52" xfId="6" applyFont="1" applyBorder="1" applyAlignment="1">
      <alignment horizontal="center" vertical="center" textRotation="90" wrapText="1"/>
    </xf>
    <xf numFmtId="0" fontId="2" fillId="0" borderId="20" xfId="6" applyFont="1" applyBorder="1" applyAlignment="1">
      <alignment horizontal="center" vertical="center" textRotation="90" wrapText="1"/>
    </xf>
    <xf numFmtId="0" fontId="2" fillId="0" borderId="21" xfId="6" applyFont="1" applyBorder="1" applyAlignment="1">
      <alignment horizontal="center" vertical="center" textRotation="90" wrapText="1"/>
    </xf>
    <xf numFmtId="0" fontId="2" fillId="0" borderId="22" xfId="6" applyFont="1" applyBorder="1" applyAlignment="1">
      <alignment horizontal="center" vertical="center" textRotation="90" wrapText="1"/>
    </xf>
    <xf numFmtId="0" fontId="38" fillId="0" borderId="8" xfId="6" applyFont="1" applyBorder="1" applyAlignment="1">
      <alignment horizontal="center" vertical="center" wrapText="1"/>
    </xf>
    <xf numFmtId="0" fontId="38" fillId="0" borderId="63" xfId="6" applyFont="1" applyBorder="1" applyAlignment="1">
      <alignment horizontal="center" vertical="center" wrapText="1"/>
    </xf>
    <xf numFmtId="0" fontId="2" fillId="0" borderId="0" xfId="6" applyFont="1" applyAlignment="1">
      <alignment horizontal="justify" vertical="center" wrapText="1"/>
    </xf>
    <xf numFmtId="0" fontId="3" fillId="0" borderId="11" xfId="6" applyFont="1" applyBorder="1" applyAlignment="1">
      <alignment horizontal="center" vertical="center" textRotation="90" wrapText="1"/>
    </xf>
    <xf numFmtId="0" fontId="3" fillId="0" borderId="4" xfId="6" applyFont="1" applyBorder="1" applyAlignment="1">
      <alignment horizontal="center" vertical="center" textRotation="90" wrapText="1"/>
    </xf>
    <xf numFmtId="0" fontId="3" fillId="0" borderId="9" xfId="6" applyFont="1" applyBorder="1" applyAlignment="1">
      <alignment horizontal="center" vertical="center" textRotation="90" wrapText="1"/>
    </xf>
    <xf numFmtId="0" fontId="3" fillId="0" borderId="7" xfId="6" applyFont="1" applyBorder="1" applyAlignment="1">
      <alignment horizontal="center" vertical="center" textRotation="90" wrapText="1"/>
    </xf>
    <xf numFmtId="0" fontId="3" fillId="0" borderId="25" xfId="6" applyFont="1" applyBorder="1" applyAlignment="1">
      <alignment horizontal="center" vertical="center" textRotation="90" wrapText="1"/>
    </xf>
    <xf numFmtId="0" fontId="3" fillId="0" borderId="23" xfId="6" applyFont="1" applyBorder="1" applyAlignment="1">
      <alignment horizontal="center" vertical="center" textRotation="90" wrapText="1"/>
    </xf>
    <xf numFmtId="0" fontId="37" fillId="0" borderId="11" xfId="6" applyFont="1" applyBorder="1" applyAlignment="1">
      <alignment horizontal="center" vertical="center" textRotation="90" wrapText="1"/>
    </xf>
    <xf numFmtId="0" fontId="37" fillId="0" borderId="4" xfId="6" applyFont="1" applyBorder="1" applyAlignment="1">
      <alignment horizontal="center" vertical="center" textRotation="90" wrapText="1"/>
    </xf>
    <xf numFmtId="0" fontId="2" fillId="0" borderId="65" xfId="6" applyFont="1" applyBorder="1" applyAlignment="1">
      <alignment horizontal="center" vertical="center" textRotation="90" wrapText="1"/>
    </xf>
    <xf numFmtId="0" fontId="2" fillId="0" borderId="67" xfId="6" applyFont="1" applyBorder="1" applyAlignment="1">
      <alignment horizontal="center" vertical="center" textRotation="90" wrapText="1"/>
    </xf>
    <xf numFmtId="0" fontId="1" fillId="0" borderId="66" xfId="6" applyFont="1" applyBorder="1" applyAlignment="1">
      <alignment horizontal="center" vertical="center" textRotation="90" wrapText="1"/>
    </xf>
    <xf numFmtId="0" fontId="2" fillId="0" borderId="0" xfId="6" applyFont="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xf>
    <xf numFmtId="0" fontId="47" fillId="0" borderId="0" xfId="0" applyFont="1" applyAlignment="1">
      <alignment horizontal="center" wrapText="1"/>
    </xf>
    <xf numFmtId="0" fontId="9" fillId="0" borderId="0" xfId="0" applyFont="1" applyAlignment="1">
      <alignment horizontal="center" vertical="center" wrapText="1"/>
    </xf>
    <xf numFmtId="0" fontId="9" fillId="0" borderId="0" xfId="0" applyFont="1" applyAlignment="1">
      <alignment horizontal="center"/>
    </xf>
    <xf numFmtId="0" fontId="0" fillId="0" borderId="0" xfId="0" applyAlignment="1">
      <alignment horizontal="center"/>
    </xf>
    <xf numFmtId="0" fontId="9" fillId="0" borderId="0" xfId="0" applyFont="1" applyAlignment="1">
      <alignment horizontal="center" vertical="center"/>
    </xf>
    <xf numFmtId="0" fontId="1" fillId="0" borderId="0" xfId="6" applyFont="1" applyBorder="1" applyAlignment="1">
      <alignment horizontal="left"/>
    </xf>
    <xf numFmtId="0" fontId="21" fillId="0" borderId="8" xfId="6" applyFont="1" applyBorder="1" applyAlignment="1">
      <alignment horizontal="center"/>
    </xf>
    <xf numFmtId="0" fontId="2" fillId="0" borderId="0" xfId="6" applyFont="1" applyBorder="1" applyAlignment="1">
      <alignment horizontal="left"/>
    </xf>
  </cellXfs>
  <cellStyles count="13">
    <cellStyle name="Millares" xfId="1" builtinId="3"/>
    <cellStyle name="Millares [0]" xfId="11" builtinId="6"/>
    <cellStyle name="Millares 2" xfId="2"/>
    <cellStyle name="Millares 3" xfId="3"/>
    <cellStyle name="Moneda" xfId="4" builtinId="4"/>
    <cellStyle name="Moneda [0]" xfId="12" builtinId="7"/>
    <cellStyle name="Moneda 2" xfId="5"/>
    <cellStyle name="Normal" xfId="0" builtinId="0"/>
    <cellStyle name="Normal 2" xfId="6"/>
    <cellStyle name="Normal 4" xfId="8"/>
    <cellStyle name="Normal 5" xfId="9"/>
    <cellStyle name="Porcentaje" xfId="10" builtinId="5"/>
    <cellStyle name="Porcentual 2" xfId="7"/>
  </cellStyles>
  <dxfs count="2">
    <dxf>
      <font>
        <condense val="0"/>
        <extend val="0"/>
        <color indexed="53"/>
      </font>
    </dxf>
    <dxf>
      <font>
        <condense val="0"/>
        <extend val="0"/>
        <color indexed="53"/>
      </font>
    </dxf>
  </dxfs>
  <tableStyles count="0" defaultTableStyle="TableStyleMedium9" defaultPivotStyle="PivotStyleLight16"/>
  <colors>
    <mruColors>
      <color rgb="FFFFFFCC"/>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 Id="rId5" Type="http://schemas.openxmlformats.org/officeDocument/2006/relationships/image" Target="../media/image10.png"/><Relationship Id="rId4"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18</xdr:col>
      <xdr:colOff>283030</xdr:colOff>
      <xdr:row>23</xdr:row>
      <xdr:rowOff>10886</xdr:rowOff>
    </xdr:from>
    <xdr:to>
      <xdr:col>18</xdr:col>
      <xdr:colOff>2394858</xdr:colOff>
      <xdr:row>23</xdr:row>
      <xdr:rowOff>892934</xdr:rowOff>
    </xdr:to>
    <xdr:pic>
      <xdr:nvPicPr>
        <xdr:cNvPr id="2" name="Imagen 1"/>
        <xdr:cNvPicPr>
          <a:picLocks noChangeAspect="1"/>
        </xdr:cNvPicPr>
      </xdr:nvPicPr>
      <xdr:blipFill>
        <a:blip xmlns:r="http://schemas.openxmlformats.org/officeDocument/2006/relationships" r:embed="rId1"/>
        <a:stretch>
          <a:fillRect/>
        </a:stretch>
      </xdr:blipFill>
      <xdr:spPr>
        <a:xfrm>
          <a:off x="26811516" y="7870372"/>
          <a:ext cx="2111828" cy="882048"/>
        </a:xfrm>
        <a:prstGeom prst="rect">
          <a:avLst/>
        </a:prstGeom>
      </xdr:spPr>
    </xdr:pic>
    <xdr:clientData/>
  </xdr:twoCellAnchor>
  <xdr:twoCellAnchor editAs="oneCell">
    <xdr:from>
      <xdr:col>18</xdr:col>
      <xdr:colOff>304798</xdr:colOff>
      <xdr:row>24</xdr:row>
      <xdr:rowOff>54430</xdr:rowOff>
    </xdr:from>
    <xdr:to>
      <xdr:col>18</xdr:col>
      <xdr:colOff>2158307</xdr:colOff>
      <xdr:row>24</xdr:row>
      <xdr:rowOff>870857</xdr:rowOff>
    </xdr:to>
    <xdr:pic>
      <xdr:nvPicPr>
        <xdr:cNvPr id="3" name="Imagen 2"/>
        <xdr:cNvPicPr>
          <a:picLocks noChangeAspect="1"/>
        </xdr:cNvPicPr>
      </xdr:nvPicPr>
      <xdr:blipFill>
        <a:blip xmlns:r="http://schemas.openxmlformats.org/officeDocument/2006/relationships" r:embed="rId2"/>
        <a:stretch>
          <a:fillRect/>
        </a:stretch>
      </xdr:blipFill>
      <xdr:spPr>
        <a:xfrm>
          <a:off x="26833284" y="8828316"/>
          <a:ext cx="1853509" cy="816427"/>
        </a:xfrm>
        <a:prstGeom prst="rect">
          <a:avLst/>
        </a:prstGeom>
      </xdr:spPr>
    </xdr:pic>
    <xdr:clientData/>
  </xdr:twoCellAnchor>
  <xdr:twoCellAnchor editAs="oneCell">
    <xdr:from>
      <xdr:col>18</xdr:col>
      <xdr:colOff>10886</xdr:colOff>
      <xdr:row>158</xdr:row>
      <xdr:rowOff>130628</xdr:rowOff>
    </xdr:from>
    <xdr:to>
      <xdr:col>18</xdr:col>
      <xdr:colOff>2915648</xdr:colOff>
      <xdr:row>158</xdr:row>
      <xdr:rowOff>1178247</xdr:rowOff>
    </xdr:to>
    <xdr:pic>
      <xdr:nvPicPr>
        <xdr:cNvPr id="4" name="Imagen 3"/>
        <xdr:cNvPicPr>
          <a:picLocks noChangeAspect="1"/>
        </xdr:cNvPicPr>
      </xdr:nvPicPr>
      <xdr:blipFill>
        <a:blip xmlns:r="http://schemas.openxmlformats.org/officeDocument/2006/relationships" r:embed="rId3"/>
        <a:stretch>
          <a:fillRect/>
        </a:stretch>
      </xdr:blipFill>
      <xdr:spPr>
        <a:xfrm>
          <a:off x="26539372" y="48724457"/>
          <a:ext cx="2904762" cy="1047619"/>
        </a:xfrm>
        <a:prstGeom prst="rect">
          <a:avLst/>
        </a:prstGeom>
      </xdr:spPr>
    </xdr:pic>
    <xdr:clientData/>
  </xdr:twoCellAnchor>
  <xdr:twoCellAnchor editAs="oneCell">
    <xdr:from>
      <xdr:col>18</xdr:col>
      <xdr:colOff>468085</xdr:colOff>
      <xdr:row>160</xdr:row>
      <xdr:rowOff>130628</xdr:rowOff>
    </xdr:from>
    <xdr:to>
      <xdr:col>18</xdr:col>
      <xdr:colOff>2868085</xdr:colOff>
      <xdr:row>160</xdr:row>
      <xdr:rowOff>1225866</xdr:rowOff>
    </xdr:to>
    <xdr:pic>
      <xdr:nvPicPr>
        <xdr:cNvPr id="5" name="Imagen 4"/>
        <xdr:cNvPicPr>
          <a:picLocks noChangeAspect="1"/>
        </xdr:cNvPicPr>
      </xdr:nvPicPr>
      <xdr:blipFill>
        <a:blip xmlns:r="http://schemas.openxmlformats.org/officeDocument/2006/relationships" r:embed="rId4"/>
        <a:stretch>
          <a:fillRect/>
        </a:stretch>
      </xdr:blipFill>
      <xdr:spPr>
        <a:xfrm>
          <a:off x="26996571" y="51217285"/>
          <a:ext cx="2400000" cy="1095238"/>
        </a:xfrm>
        <a:prstGeom prst="rect">
          <a:avLst/>
        </a:prstGeom>
      </xdr:spPr>
    </xdr:pic>
    <xdr:clientData/>
  </xdr:twoCellAnchor>
  <xdr:twoCellAnchor editAs="oneCell">
    <xdr:from>
      <xdr:col>18</xdr:col>
      <xdr:colOff>391886</xdr:colOff>
      <xdr:row>161</xdr:row>
      <xdr:rowOff>21772</xdr:rowOff>
    </xdr:from>
    <xdr:to>
      <xdr:col>18</xdr:col>
      <xdr:colOff>2896648</xdr:colOff>
      <xdr:row>161</xdr:row>
      <xdr:rowOff>1183677</xdr:rowOff>
    </xdr:to>
    <xdr:pic>
      <xdr:nvPicPr>
        <xdr:cNvPr id="6" name="Imagen 5"/>
        <xdr:cNvPicPr>
          <a:picLocks noChangeAspect="1"/>
        </xdr:cNvPicPr>
      </xdr:nvPicPr>
      <xdr:blipFill>
        <a:blip xmlns:r="http://schemas.openxmlformats.org/officeDocument/2006/relationships" r:embed="rId5"/>
        <a:stretch>
          <a:fillRect/>
        </a:stretch>
      </xdr:blipFill>
      <xdr:spPr>
        <a:xfrm>
          <a:off x="26920372" y="52469143"/>
          <a:ext cx="2504762" cy="11619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15240</xdr:colOff>
      <xdr:row>6</xdr:row>
      <xdr:rowOff>144780</xdr:rowOff>
    </xdr:from>
    <xdr:to>
      <xdr:col>21</xdr:col>
      <xdr:colOff>700064</xdr:colOff>
      <xdr:row>18</xdr:row>
      <xdr:rowOff>169986</xdr:rowOff>
    </xdr:to>
    <xdr:pic>
      <xdr:nvPicPr>
        <xdr:cNvPr id="2" name="Imagen 1"/>
        <xdr:cNvPicPr>
          <a:picLocks noChangeAspect="1"/>
        </xdr:cNvPicPr>
      </xdr:nvPicPr>
      <xdr:blipFill>
        <a:blip xmlns:r="http://schemas.openxmlformats.org/officeDocument/2006/relationships" r:embed="rId1"/>
        <a:stretch>
          <a:fillRect/>
        </a:stretch>
      </xdr:blipFill>
      <xdr:spPr>
        <a:xfrm>
          <a:off x="6734695" y="1447107"/>
          <a:ext cx="7847624" cy="2724154"/>
        </a:xfrm>
        <a:prstGeom prst="rect">
          <a:avLst/>
        </a:prstGeom>
      </xdr:spPr>
    </xdr:pic>
    <xdr:clientData/>
  </xdr:twoCellAnchor>
  <xdr:twoCellAnchor editAs="oneCell">
    <xdr:from>
      <xdr:col>12</xdr:col>
      <xdr:colOff>121920</xdr:colOff>
      <xdr:row>18</xdr:row>
      <xdr:rowOff>91441</xdr:rowOff>
    </xdr:from>
    <xdr:to>
      <xdr:col>17</xdr:col>
      <xdr:colOff>69635</xdr:colOff>
      <xdr:row>73</xdr:row>
      <xdr:rowOff>98084</xdr:rowOff>
    </xdr:to>
    <xdr:pic>
      <xdr:nvPicPr>
        <xdr:cNvPr id="3" name="Imagen 2"/>
        <xdr:cNvPicPr>
          <a:picLocks noChangeAspect="1"/>
        </xdr:cNvPicPr>
      </xdr:nvPicPr>
      <xdr:blipFill>
        <a:blip xmlns:r="http://schemas.openxmlformats.org/officeDocument/2006/relationships" r:embed="rId2"/>
        <a:stretch>
          <a:fillRect/>
        </a:stretch>
      </xdr:blipFill>
      <xdr:spPr>
        <a:xfrm>
          <a:off x="6858000" y="4389121"/>
          <a:ext cx="3971075" cy="2981132"/>
        </a:xfrm>
        <a:prstGeom prst="rect">
          <a:avLst/>
        </a:prstGeom>
      </xdr:spPr>
    </xdr:pic>
    <xdr:clientData/>
  </xdr:twoCellAnchor>
  <xdr:twoCellAnchor editAs="oneCell">
    <xdr:from>
      <xdr:col>16</xdr:col>
      <xdr:colOff>305947</xdr:colOff>
      <xdr:row>17</xdr:row>
      <xdr:rowOff>266700</xdr:rowOff>
    </xdr:from>
    <xdr:to>
      <xdr:col>21</xdr:col>
      <xdr:colOff>85044</xdr:colOff>
      <xdr:row>88</xdr:row>
      <xdr:rowOff>141085</xdr:rowOff>
    </xdr:to>
    <xdr:pic>
      <xdr:nvPicPr>
        <xdr:cNvPr id="4" name="Imagen 3"/>
        <xdr:cNvPicPr>
          <a:picLocks noChangeAspect="1"/>
        </xdr:cNvPicPr>
      </xdr:nvPicPr>
      <xdr:blipFill>
        <a:blip xmlns:r="http://schemas.openxmlformats.org/officeDocument/2006/relationships" r:embed="rId3"/>
        <a:stretch>
          <a:fillRect/>
        </a:stretch>
      </xdr:blipFill>
      <xdr:spPr>
        <a:xfrm>
          <a:off x="10272907" y="4229100"/>
          <a:ext cx="3741497" cy="5927355"/>
        </a:xfrm>
        <a:prstGeom prst="rect">
          <a:avLst/>
        </a:prstGeom>
      </xdr:spPr>
    </xdr:pic>
    <xdr:clientData/>
  </xdr:twoCellAnchor>
  <xdr:twoCellAnchor editAs="oneCell">
    <xdr:from>
      <xdr:col>13</xdr:col>
      <xdr:colOff>44824</xdr:colOff>
      <xdr:row>12</xdr:row>
      <xdr:rowOff>295835</xdr:rowOff>
    </xdr:from>
    <xdr:to>
      <xdr:col>31</xdr:col>
      <xdr:colOff>387587</xdr:colOff>
      <xdr:row>72</xdr:row>
      <xdr:rowOff>17084</xdr:rowOff>
    </xdr:to>
    <xdr:pic>
      <xdr:nvPicPr>
        <xdr:cNvPr id="5" name="Imagen 4"/>
        <xdr:cNvPicPr>
          <a:picLocks noChangeAspect="1"/>
        </xdr:cNvPicPr>
      </xdr:nvPicPr>
      <xdr:blipFill>
        <a:blip xmlns:r="http://schemas.openxmlformats.org/officeDocument/2006/relationships" r:embed="rId4"/>
        <a:stretch>
          <a:fillRect/>
        </a:stretch>
      </xdr:blipFill>
      <xdr:spPr>
        <a:xfrm>
          <a:off x="7602071" y="2465294"/>
          <a:ext cx="14542857" cy="2276190"/>
        </a:xfrm>
        <a:prstGeom prst="rect">
          <a:avLst/>
        </a:prstGeom>
      </xdr:spPr>
    </xdr:pic>
    <xdr:clientData/>
  </xdr:twoCellAnchor>
  <xdr:twoCellAnchor editAs="oneCell">
    <xdr:from>
      <xdr:col>12</xdr:col>
      <xdr:colOff>421342</xdr:colOff>
      <xdr:row>74</xdr:row>
      <xdr:rowOff>35859</xdr:rowOff>
    </xdr:from>
    <xdr:to>
      <xdr:col>28</xdr:col>
      <xdr:colOff>688105</xdr:colOff>
      <xdr:row>94</xdr:row>
      <xdr:rowOff>143557</xdr:rowOff>
    </xdr:to>
    <xdr:pic>
      <xdr:nvPicPr>
        <xdr:cNvPr id="6" name="Imagen 5"/>
        <xdr:cNvPicPr>
          <a:picLocks noChangeAspect="1"/>
        </xdr:cNvPicPr>
      </xdr:nvPicPr>
      <xdr:blipFill>
        <a:blip xmlns:r="http://schemas.openxmlformats.org/officeDocument/2006/relationships" r:embed="rId5"/>
        <a:stretch>
          <a:fillRect/>
        </a:stretch>
      </xdr:blipFill>
      <xdr:spPr>
        <a:xfrm>
          <a:off x="7135907" y="5100918"/>
          <a:ext cx="12942857" cy="351428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Arq.%20JIMENA\LICEO%20UDENAR%202008\Liceo%20Tecnico\II%20ETAPA%20LICEO\017-TERMINOS\EVALUACI&#211;N%20INV%20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RIDICA"/>
      <sheetName val="TECNICA"/>
      <sheetName val="CORRECCION VALOR"/>
      <sheetName val="PUNTAJE"/>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6"/>
  <sheetViews>
    <sheetView view="pageBreakPreview" topLeftCell="A2" zoomScale="60" zoomScaleNormal="60" zoomScalePageLayoutView="30" workbookViewId="0">
      <selection activeCell="C15" sqref="C15:C21"/>
    </sheetView>
  </sheetViews>
  <sheetFormatPr baseColWidth="10" defaultColWidth="11.44140625" defaultRowHeight="13.2" x14ac:dyDescent="0.25"/>
  <cols>
    <col min="1" max="1" width="4.109375" style="2" customWidth="1"/>
    <col min="2" max="2" width="7.33203125" style="1" customWidth="1"/>
    <col min="3" max="3" width="30.33203125" style="2" customWidth="1"/>
    <col min="4" max="5" width="8" style="2" customWidth="1"/>
    <col min="6" max="7" width="10.109375" style="2" customWidth="1"/>
    <col min="8" max="11" width="8" style="2" customWidth="1"/>
    <col min="12" max="12" width="7" style="16" customWidth="1"/>
    <col min="13" max="13" width="7" style="17" customWidth="1"/>
    <col min="14" max="14" width="9.109375" style="16" hidden="1" customWidth="1"/>
    <col min="15" max="15" width="9.33203125" style="16" hidden="1" customWidth="1"/>
    <col min="16" max="16" width="14.88671875" style="16" customWidth="1"/>
    <col min="17" max="17" width="6.88671875" style="2" customWidth="1"/>
    <col min="18" max="16384" width="11.44140625" style="2"/>
  </cols>
  <sheetData>
    <row r="1" spans="2:16" x14ac:dyDescent="0.25">
      <c r="B1" s="613" t="s">
        <v>0</v>
      </c>
      <c r="C1" s="613"/>
      <c r="D1" s="613"/>
      <c r="E1" s="613"/>
      <c r="F1" s="613"/>
      <c r="G1" s="613"/>
      <c r="H1" s="613"/>
      <c r="I1" s="613"/>
      <c r="J1" s="613"/>
      <c r="K1" s="613"/>
      <c r="L1" s="613"/>
      <c r="M1" s="613"/>
      <c r="N1" s="613"/>
      <c r="O1" s="613"/>
      <c r="P1" s="613"/>
    </row>
    <row r="2" spans="2:16" x14ac:dyDescent="0.25">
      <c r="B2" s="613" t="s">
        <v>1</v>
      </c>
      <c r="C2" s="613"/>
      <c r="D2" s="613"/>
      <c r="E2" s="613"/>
      <c r="F2" s="613"/>
      <c r="G2" s="613"/>
      <c r="H2" s="613"/>
      <c r="I2" s="613"/>
      <c r="J2" s="613"/>
      <c r="K2" s="613"/>
      <c r="L2" s="613"/>
      <c r="M2" s="613"/>
      <c r="N2" s="613"/>
      <c r="O2" s="613"/>
      <c r="P2" s="613"/>
    </row>
    <row r="3" spans="2:16" ht="9.75" customHeight="1" x14ac:dyDescent="0.25"/>
    <row r="4" spans="2:16" x14ac:dyDescent="0.25">
      <c r="B4" s="615" t="s">
        <v>368</v>
      </c>
      <c r="C4" s="616"/>
      <c r="D4" s="616"/>
      <c r="E4" s="616"/>
      <c r="F4" s="616"/>
      <c r="G4" s="616"/>
      <c r="H4" s="616"/>
      <c r="I4" s="616"/>
      <c r="J4" s="616"/>
      <c r="K4" s="616"/>
      <c r="L4" s="616"/>
      <c r="M4" s="616"/>
      <c r="N4" s="616"/>
      <c r="O4" s="616"/>
      <c r="P4" s="616"/>
    </row>
    <row r="5" spans="2:16" ht="26.25" customHeight="1" x14ac:dyDescent="0.25">
      <c r="B5" s="617" t="s">
        <v>367</v>
      </c>
      <c r="C5" s="617"/>
      <c r="D5" s="617"/>
      <c r="E5" s="617"/>
      <c r="F5" s="617"/>
      <c r="G5" s="617"/>
      <c r="H5" s="617"/>
      <c r="I5" s="617"/>
      <c r="J5" s="617"/>
      <c r="K5" s="617"/>
      <c r="L5" s="617"/>
      <c r="M5" s="617"/>
      <c r="N5" s="617"/>
      <c r="O5" s="617"/>
      <c r="P5" s="617"/>
    </row>
    <row r="6" spans="2:16" x14ac:dyDescent="0.25">
      <c r="B6" s="613" t="s">
        <v>369</v>
      </c>
      <c r="C6" s="613"/>
      <c r="D6" s="613"/>
      <c r="E6" s="613"/>
      <c r="F6" s="613"/>
      <c r="G6" s="613"/>
      <c r="H6" s="613"/>
      <c r="I6" s="613"/>
      <c r="J6" s="613"/>
      <c r="K6" s="613"/>
      <c r="L6" s="613"/>
      <c r="M6" s="613"/>
      <c r="N6" s="613"/>
      <c r="O6" s="613"/>
      <c r="P6" s="613"/>
    </row>
    <row r="7" spans="2:16" x14ac:dyDescent="0.25">
      <c r="C7" s="3"/>
      <c r="D7" s="3"/>
      <c r="E7" s="3"/>
      <c r="F7" s="3"/>
      <c r="G7" s="3"/>
      <c r="H7" s="3"/>
      <c r="I7" s="3"/>
      <c r="J7" s="3"/>
      <c r="K7" s="3"/>
      <c r="L7" s="156"/>
      <c r="M7" s="157"/>
      <c r="N7" s="156"/>
      <c r="O7" s="156"/>
      <c r="P7" s="156"/>
    </row>
    <row r="8" spans="2:16" x14ac:dyDescent="0.25">
      <c r="B8" s="613" t="s">
        <v>167</v>
      </c>
      <c r="C8" s="613"/>
      <c r="D8" s="613"/>
      <c r="E8" s="613"/>
      <c r="F8" s="613"/>
      <c r="G8" s="613"/>
      <c r="H8" s="613"/>
      <c r="I8" s="613"/>
      <c r="J8" s="613"/>
      <c r="K8" s="613"/>
      <c r="L8" s="613"/>
      <c r="M8" s="613"/>
      <c r="N8" s="613"/>
      <c r="O8" s="613"/>
      <c r="P8" s="613"/>
    </row>
    <row r="9" spans="2:16" ht="6" customHeight="1" x14ac:dyDescent="0.25"/>
    <row r="11" spans="2:16" ht="13.8" thickBot="1" x14ac:dyDescent="0.3"/>
    <row r="12" spans="2:16" s="3" customFormat="1" ht="62.25" customHeight="1" thickBot="1" x14ac:dyDescent="0.3">
      <c r="B12" s="618" t="s">
        <v>2</v>
      </c>
      <c r="C12" s="640" t="s">
        <v>3</v>
      </c>
      <c r="D12" s="623" t="s">
        <v>95</v>
      </c>
      <c r="E12" s="230" t="s">
        <v>128</v>
      </c>
      <c r="F12" s="229"/>
      <c r="G12" s="229"/>
      <c r="H12" s="229"/>
      <c r="I12" s="229"/>
      <c r="J12" s="229"/>
      <c r="K12" s="231"/>
      <c r="L12" s="230" t="s">
        <v>104</v>
      </c>
      <c r="M12" s="231"/>
      <c r="N12" s="146"/>
      <c r="O12" s="146"/>
      <c r="P12" s="626" t="s">
        <v>4</v>
      </c>
    </row>
    <row r="13" spans="2:16" s="168" customFormat="1" ht="28.5" customHeight="1" x14ac:dyDescent="0.2">
      <c r="B13" s="619"/>
      <c r="C13" s="641"/>
      <c r="D13" s="624"/>
      <c r="E13" s="632" t="s">
        <v>114</v>
      </c>
      <c r="F13" s="634" t="s">
        <v>116</v>
      </c>
      <c r="G13" s="634" t="s">
        <v>121</v>
      </c>
      <c r="H13" s="634" t="s">
        <v>117</v>
      </c>
      <c r="I13" s="634" t="s">
        <v>118</v>
      </c>
      <c r="J13" s="634" t="s">
        <v>119</v>
      </c>
      <c r="K13" s="636" t="s">
        <v>120</v>
      </c>
      <c r="L13" s="638" t="s">
        <v>111</v>
      </c>
      <c r="M13" s="621" t="s">
        <v>112</v>
      </c>
      <c r="N13" s="629" t="s">
        <v>15</v>
      </c>
      <c r="O13" s="630"/>
      <c r="P13" s="627"/>
    </row>
    <row r="14" spans="2:16" s="168" customFormat="1" ht="166.5" customHeight="1" thickBot="1" x14ac:dyDescent="0.25">
      <c r="B14" s="620"/>
      <c r="C14" s="642"/>
      <c r="D14" s="625"/>
      <c r="E14" s="633"/>
      <c r="F14" s="635"/>
      <c r="G14" s="635"/>
      <c r="H14" s="635"/>
      <c r="I14" s="635"/>
      <c r="J14" s="635"/>
      <c r="K14" s="637"/>
      <c r="L14" s="639"/>
      <c r="M14" s="622"/>
      <c r="N14" s="228" t="s">
        <v>13</v>
      </c>
      <c r="O14" s="201" t="s">
        <v>14</v>
      </c>
      <c r="P14" s="628"/>
    </row>
    <row r="15" spans="2:16" s="167" customFormat="1" ht="36.6" customHeight="1" x14ac:dyDescent="0.3">
      <c r="B15" s="249" t="s">
        <v>6</v>
      </c>
      <c r="C15" s="250" t="s">
        <v>220</v>
      </c>
      <c r="D15" s="245" t="s">
        <v>90</v>
      </c>
      <c r="E15" s="232" t="s">
        <v>115</v>
      </c>
      <c r="F15" s="233" t="s">
        <v>115</v>
      </c>
      <c r="G15" s="233" t="s">
        <v>90</v>
      </c>
      <c r="H15" s="233" t="s">
        <v>115</v>
      </c>
      <c r="I15" s="233" t="s">
        <v>90</v>
      </c>
      <c r="J15" s="233" t="s">
        <v>115</v>
      </c>
      <c r="K15" s="234" t="s">
        <v>115</v>
      </c>
      <c r="L15" s="241" t="e">
        <f>+#REF!</f>
        <v>#REF!</v>
      </c>
      <c r="M15" s="242" t="e">
        <f>+#REF!</f>
        <v>#REF!</v>
      </c>
      <c r="N15" s="251"/>
      <c r="O15" s="252"/>
      <c r="P15" s="253" t="s">
        <v>122</v>
      </c>
    </row>
    <row r="16" spans="2:16" s="167" customFormat="1" ht="40.200000000000003" customHeight="1" x14ac:dyDescent="0.3">
      <c r="B16" s="175" t="s">
        <v>7</v>
      </c>
      <c r="C16" s="209" t="str">
        <f>+TECNICA!B15</f>
        <v>CONSORCIO EDUCAR 2019</v>
      </c>
      <c r="D16" s="246" t="s">
        <v>90</v>
      </c>
      <c r="E16" s="235"/>
      <c r="F16" s="165" t="s">
        <v>115</v>
      </c>
      <c r="G16" s="165"/>
      <c r="H16" s="165"/>
      <c r="I16" s="165"/>
      <c r="J16" s="165"/>
      <c r="K16" s="236"/>
      <c r="L16" s="293"/>
      <c r="M16" s="294"/>
      <c r="N16" s="240"/>
      <c r="O16" s="166"/>
      <c r="P16" s="295" t="s">
        <v>122</v>
      </c>
    </row>
    <row r="17" spans="2:24" s="167" customFormat="1" ht="32.25" customHeight="1" x14ac:dyDescent="0.3">
      <c r="B17" s="175" t="s">
        <v>106</v>
      </c>
      <c r="C17" s="209" t="s">
        <v>399</v>
      </c>
      <c r="D17" s="246" t="s">
        <v>90</v>
      </c>
      <c r="E17" s="235"/>
      <c r="F17" s="165" t="s">
        <v>115</v>
      </c>
      <c r="G17" s="165"/>
      <c r="H17" s="165"/>
      <c r="I17" s="165"/>
      <c r="J17" s="165"/>
      <c r="K17" s="236"/>
      <c r="L17" s="293"/>
      <c r="M17" s="294"/>
      <c r="N17" s="240"/>
      <c r="O17" s="166"/>
      <c r="P17" s="295" t="s">
        <v>122</v>
      </c>
    </row>
    <row r="18" spans="2:24" s="167" customFormat="1" ht="10.199999999999999" x14ac:dyDescent="0.3">
      <c r="B18" s="175" t="s">
        <v>107</v>
      </c>
      <c r="C18" s="209" t="s">
        <v>374</v>
      </c>
      <c r="D18" s="246" t="s">
        <v>90</v>
      </c>
      <c r="E18" s="235"/>
      <c r="F18" s="165" t="s">
        <v>115</v>
      </c>
      <c r="G18" s="165"/>
      <c r="H18" s="165"/>
      <c r="I18" s="165"/>
      <c r="J18" s="165"/>
      <c r="K18" s="236"/>
      <c r="L18" s="293"/>
      <c r="M18" s="294"/>
      <c r="N18" s="240"/>
      <c r="O18" s="166"/>
      <c r="P18" s="295" t="s">
        <v>122</v>
      </c>
    </row>
    <row r="19" spans="2:24" s="167" customFormat="1" ht="20.399999999999999" x14ac:dyDescent="0.3">
      <c r="B19" s="175" t="s">
        <v>130</v>
      </c>
      <c r="C19" s="209" t="s">
        <v>400</v>
      </c>
      <c r="D19" s="246" t="s">
        <v>90</v>
      </c>
      <c r="E19" s="235"/>
      <c r="F19" s="165" t="s">
        <v>115</v>
      </c>
      <c r="G19" s="165"/>
      <c r="H19" s="165"/>
      <c r="I19" s="165"/>
      <c r="J19" s="165"/>
      <c r="K19" s="236"/>
      <c r="L19" s="293"/>
      <c r="M19" s="294"/>
      <c r="N19" s="240"/>
      <c r="O19" s="166"/>
      <c r="P19" s="295" t="s">
        <v>122</v>
      </c>
    </row>
    <row r="20" spans="2:24" s="18" customFormat="1" ht="13.8" x14ac:dyDescent="0.3">
      <c r="B20" s="175" t="s">
        <v>131</v>
      </c>
      <c r="C20" s="209" t="s">
        <v>435</v>
      </c>
      <c r="D20" s="247" t="s">
        <v>90</v>
      </c>
      <c r="E20" s="237"/>
      <c r="F20" s="164" t="s">
        <v>115</v>
      </c>
      <c r="G20" s="164"/>
      <c r="H20" s="164"/>
      <c r="I20" s="164"/>
      <c r="J20" s="164"/>
      <c r="K20" s="238"/>
      <c r="L20" s="293"/>
      <c r="M20" s="294"/>
      <c r="N20" s="240"/>
      <c r="O20" s="166"/>
      <c r="P20" s="295" t="s">
        <v>122</v>
      </c>
    </row>
    <row r="21" spans="2:24" s="18" customFormat="1" ht="13.8" x14ac:dyDescent="0.3">
      <c r="B21" s="175" t="s">
        <v>132</v>
      </c>
      <c r="C21" s="209" t="s">
        <v>307</v>
      </c>
      <c r="D21" s="247" t="s">
        <v>90</v>
      </c>
      <c r="E21" s="237"/>
      <c r="F21" s="164" t="s">
        <v>115</v>
      </c>
      <c r="G21" s="164"/>
      <c r="H21" s="164"/>
      <c r="I21" s="164"/>
      <c r="J21" s="164"/>
      <c r="K21" s="238"/>
      <c r="L21" s="293"/>
      <c r="M21" s="294"/>
      <c r="N21" s="240"/>
      <c r="O21" s="166"/>
      <c r="P21" s="295" t="s">
        <v>122</v>
      </c>
    </row>
    <row r="22" spans="2:24" s="18" customFormat="1" ht="13.8" hidden="1" x14ac:dyDescent="0.3">
      <c r="B22" s="175" t="s">
        <v>133</v>
      </c>
      <c r="C22" s="209"/>
      <c r="D22" s="247"/>
      <c r="E22" s="237"/>
      <c r="F22" s="164"/>
      <c r="G22" s="164"/>
      <c r="H22" s="164"/>
      <c r="I22" s="164"/>
      <c r="J22" s="164"/>
      <c r="K22" s="238"/>
      <c r="L22" s="293"/>
      <c r="M22" s="294"/>
      <c r="N22" s="240"/>
      <c r="O22" s="166"/>
      <c r="P22" s="210"/>
    </row>
    <row r="23" spans="2:24" s="18" customFormat="1" ht="14.4" hidden="1" thickBot="1" x14ac:dyDescent="0.35">
      <c r="B23" s="296" t="s">
        <v>134</v>
      </c>
      <c r="C23" s="254"/>
      <c r="D23" s="297"/>
      <c r="E23" s="298"/>
      <c r="F23" s="299"/>
      <c r="G23" s="299"/>
      <c r="H23" s="299"/>
      <c r="I23" s="299"/>
      <c r="J23" s="299"/>
      <c r="K23" s="300"/>
      <c r="L23" s="301"/>
      <c r="M23" s="302"/>
      <c r="N23" s="255"/>
      <c r="O23" s="256"/>
      <c r="P23" s="303"/>
    </row>
    <row r="24" spans="2:24" s="18" customFormat="1" ht="33.75" hidden="1" customHeight="1" thickBot="1" x14ac:dyDescent="0.35">
      <c r="B24" s="286"/>
      <c r="C24" s="287"/>
      <c r="D24" s="288"/>
      <c r="E24" s="289"/>
      <c r="F24" s="290"/>
      <c r="G24" s="290"/>
      <c r="H24" s="290"/>
      <c r="I24" s="290"/>
      <c r="J24" s="290"/>
      <c r="K24" s="291"/>
      <c r="L24" s="243" t="e">
        <f>+#REF!</f>
        <v>#REF!</v>
      </c>
      <c r="M24" s="244" t="e">
        <f>+#REF!</f>
        <v>#REF!</v>
      </c>
      <c r="N24" s="239"/>
      <c r="O24" s="176"/>
      <c r="P24" s="292"/>
    </row>
    <row r="25" spans="2:24" x14ac:dyDescent="0.25">
      <c r="L25" s="174"/>
      <c r="N25" s="174"/>
      <c r="O25" s="174"/>
      <c r="P25" s="174"/>
    </row>
    <row r="26" spans="2:24" ht="24" customHeight="1" x14ac:dyDescent="0.25">
      <c r="C26" s="248" t="s">
        <v>94</v>
      </c>
    </row>
    <row r="27" spans="2:24" x14ac:dyDescent="0.25">
      <c r="B27" s="631"/>
      <c r="C27" s="631"/>
      <c r="D27" s="631"/>
      <c r="E27" s="631"/>
      <c r="F27" s="631"/>
      <c r="G27" s="631"/>
      <c r="H27" s="631"/>
      <c r="I27" s="631"/>
      <c r="J27" s="631"/>
      <c r="K27" s="631"/>
      <c r="L27" s="631"/>
      <c r="M27" s="631"/>
      <c r="N27" s="631"/>
      <c r="O27" s="631"/>
      <c r="P27" s="631"/>
    </row>
    <row r="28" spans="2:24" x14ac:dyDescent="0.25">
      <c r="B28" s="643"/>
      <c r="C28" s="643"/>
      <c r="D28" s="643"/>
      <c r="E28" s="643"/>
      <c r="F28" s="643"/>
      <c r="G28" s="643"/>
      <c r="H28" s="643"/>
      <c r="I28" s="643"/>
      <c r="J28" s="643"/>
      <c r="K28" s="643"/>
      <c r="L28" s="643"/>
      <c r="M28" s="643"/>
      <c r="N28" s="643"/>
      <c r="O28" s="643"/>
      <c r="P28" s="643"/>
    </row>
    <row r="29" spans="2:24" x14ac:dyDescent="0.25">
      <c r="B29" s="631"/>
      <c r="C29" s="631"/>
      <c r="D29" s="631"/>
      <c r="E29" s="631"/>
      <c r="F29" s="631"/>
      <c r="G29" s="631"/>
      <c r="H29" s="631"/>
      <c r="I29" s="631"/>
      <c r="J29" s="631"/>
      <c r="K29" s="631"/>
      <c r="L29" s="631"/>
      <c r="M29" s="631"/>
      <c r="N29" s="631"/>
      <c r="O29" s="631"/>
      <c r="P29" s="631"/>
      <c r="Q29" s="614" t="s">
        <v>124</v>
      </c>
      <c r="R29" s="614"/>
      <c r="S29" s="614"/>
      <c r="T29" s="614"/>
      <c r="U29" s="614"/>
      <c r="V29" s="614"/>
      <c r="W29" s="614"/>
      <c r="X29" s="614"/>
    </row>
    <row r="30" spans="2:24" x14ac:dyDescent="0.25">
      <c r="B30" s="631"/>
      <c r="C30" s="631"/>
      <c r="D30" s="631"/>
      <c r="E30" s="631"/>
      <c r="F30" s="631"/>
      <c r="G30" s="631"/>
      <c r="H30" s="631"/>
      <c r="I30" s="631"/>
      <c r="J30" s="631"/>
      <c r="K30" s="631"/>
      <c r="L30" s="631"/>
      <c r="M30" s="631"/>
      <c r="N30" s="631"/>
      <c r="O30" s="631"/>
      <c r="P30" s="631"/>
    </row>
    <row r="31" spans="2:24" ht="39.75" customHeight="1" x14ac:dyDescent="0.25">
      <c r="B31" s="204" t="s">
        <v>105</v>
      </c>
      <c r="C31" s="200"/>
      <c r="D31" s="200"/>
      <c r="E31" s="200"/>
      <c r="F31" s="200"/>
      <c r="G31" s="200"/>
      <c r="H31" s="200"/>
      <c r="I31" s="227" t="s">
        <v>103</v>
      </c>
      <c r="K31" s="200"/>
      <c r="L31" s="200"/>
      <c r="M31" s="200"/>
      <c r="N31" s="200"/>
      <c r="O31" s="200"/>
      <c r="P31" s="200"/>
      <c r="Q31" s="199"/>
      <c r="R31" s="199">
        <v>150</v>
      </c>
    </row>
    <row r="32" spans="2:24" ht="39.75" customHeight="1" x14ac:dyDescent="0.25">
      <c r="B32" s="206"/>
      <c r="C32" s="207"/>
      <c r="D32" s="208"/>
      <c r="E32" s="226"/>
      <c r="F32" s="226"/>
      <c r="G32" s="226"/>
      <c r="H32" s="226"/>
      <c r="I32" s="208"/>
      <c r="J32" s="208"/>
      <c r="K32" s="208"/>
      <c r="L32" s="208"/>
      <c r="M32" s="208"/>
      <c r="N32" s="208"/>
      <c r="O32" s="208"/>
      <c r="P32" s="208"/>
      <c r="Q32" s="174"/>
      <c r="R32" s="174">
        <v>828116</v>
      </c>
    </row>
    <row r="33" spans="1:18" x14ac:dyDescent="0.25">
      <c r="A33" s="159"/>
      <c r="B33" s="159" t="s">
        <v>91</v>
      </c>
      <c r="J33" s="1" t="s">
        <v>123</v>
      </c>
      <c r="L33" s="2"/>
      <c r="M33" s="2"/>
      <c r="N33" s="2"/>
      <c r="O33" s="2"/>
      <c r="P33" s="257"/>
      <c r="R33" s="2">
        <f>+R32*R31</f>
        <v>124217400</v>
      </c>
    </row>
    <row r="34" spans="1:18" x14ac:dyDescent="0.25">
      <c r="A34" s="160"/>
      <c r="B34" s="160" t="s">
        <v>92</v>
      </c>
      <c r="J34" s="265" t="s">
        <v>127</v>
      </c>
      <c r="L34" s="2"/>
      <c r="M34" s="2"/>
      <c r="N34" s="2"/>
      <c r="O34" s="2"/>
      <c r="P34" s="203"/>
    </row>
    <row r="35" spans="1:18" x14ac:dyDescent="0.25">
      <c r="B35" s="225" t="s">
        <v>110</v>
      </c>
      <c r="C35" s="266"/>
      <c r="L35" s="199"/>
      <c r="N35" s="199"/>
      <c r="O35" s="199"/>
      <c r="P35" s="199"/>
    </row>
    <row r="36" spans="1:18" x14ac:dyDescent="0.25">
      <c r="B36" s="204"/>
      <c r="C36" s="200"/>
      <c r="D36" s="200"/>
      <c r="E36" s="200"/>
      <c r="F36" s="200"/>
      <c r="G36" s="200"/>
      <c r="H36" s="200"/>
      <c r="I36" s="200"/>
      <c r="J36" s="200"/>
      <c r="K36" s="200"/>
      <c r="L36" s="200"/>
      <c r="M36" s="200"/>
      <c r="N36" s="200"/>
      <c r="O36" s="199"/>
      <c r="P36" s="199"/>
    </row>
  </sheetData>
  <mergeCells count="25">
    <mergeCell ref="B30:P30"/>
    <mergeCell ref="E13:E14"/>
    <mergeCell ref="F13:F14"/>
    <mergeCell ref="G13:G14"/>
    <mergeCell ref="H13:H14"/>
    <mergeCell ref="I13:I14"/>
    <mergeCell ref="J13:J14"/>
    <mergeCell ref="K13:K14"/>
    <mergeCell ref="B27:P27"/>
    <mergeCell ref="L13:L14"/>
    <mergeCell ref="C12:C14"/>
    <mergeCell ref="B28:P28"/>
    <mergeCell ref="B1:P1"/>
    <mergeCell ref="B2:P2"/>
    <mergeCell ref="Q29:X29"/>
    <mergeCell ref="B4:P4"/>
    <mergeCell ref="B5:P5"/>
    <mergeCell ref="B6:P6"/>
    <mergeCell ref="B8:P8"/>
    <mergeCell ref="B12:B14"/>
    <mergeCell ref="M13:M14"/>
    <mergeCell ref="D12:D14"/>
    <mergeCell ref="P12:P14"/>
    <mergeCell ref="N13:O13"/>
    <mergeCell ref="B29:P29"/>
  </mergeCells>
  <pageMargins left="0.70866141732283472" right="0.70866141732283472" top="0.74803149606299213" bottom="0.74803149606299213" header="0.31496062992125984" footer="0.31496062992125984"/>
  <pageSetup paperSize="122" scale="64" fitToHeight="0" orientation="portrait" verticalDpi="300" r:id="rId1"/>
  <headerFooter alignWithMargins="0"/>
  <colBreaks count="1" manualBreakCount="1">
    <brk id="16" max="3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9"/>
  <sheetViews>
    <sheetView tabSelected="1" topLeftCell="A47" zoomScale="85" zoomScaleNormal="85" zoomScaleSheetLayoutView="70" workbookViewId="0">
      <selection activeCell="B69" sqref="B69"/>
    </sheetView>
  </sheetViews>
  <sheetFormatPr baseColWidth="10" defaultRowHeight="14.4" x14ac:dyDescent="0.3"/>
  <cols>
    <col min="1" max="1" width="5.5546875" customWidth="1"/>
    <col min="2" max="2" width="41.33203125" customWidth="1"/>
    <col min="3" max="3" width="24.5546875" customWidth="1"/>
    <col min="4" max="4" width="27.109375" customWidth="1"/>
    <col min="5" max="5" width="14" bestFit="1" customWidth="1"/>
    <col min="6" max="6" width="7.6640625" customWidth="1"/>
    <col min="7" max="7" width="23.88671875" customWidth="1"/>
    <col min="8" max="8" width="12.44140625" customWidth="1"/>
    <col min="9" max="9" width="10.6640625" customWidth="1"/>
    <col min="10" max="10" width="10.5546875" customWidth="1"/>
    <col min="11" max="11" width="11.5546875" customWidth="1"/>
    <col min="12" max="12" width="13.6640625" bestFit="1" customWidth="1"/>
    <col min="13" max="13" width="8.88671875" bestFit="1" customWidth="1"/>
    <col min="14" max="14" width="15.44140625" style="258" customWidth="1"/>
    <col min="15" max="15" width="23.44140625" bestFit="1" customWidth="1"/>
  </cols>
  <sheetData>
    <row r="1" spans="1:20" x14ac:dyDescent="0.3">
      <c r="A1" s="7" t="str">
        <f>Experiencia!B1</f>
        <v>UNIVERSIDAD DE NARIÑO</v>
      </c>
    </row>
    <row r="2" spans="1:20" x14ac:dyDescent="0.3">
      <c r="A2" s="7" t="s">
        <v>1</v>
      </c>
    </row>
    <row r="3" spans="1:20" hidden="1" x14ac:dyDescent="0.3"/>
    <row r="5" spans="1:20" x14ac:dyDescent="0.3">
      <c r="A5" s="644" t="str">
        <f>Experiencia!B4</f>
        <v>CONVOCATORIA PUBLICA No. 119602 de 2019</v>
      </c>
      <c r="B5" s="644"/>
      <c r="C5" s="644"/>
      <c r="D5" s="644"/>
      <c r="E5" s="644"/>
      <c r="F5" s="644"/>
      <c r="G5" s="644"/>
      <c r="H5" s="644"/>
      <c r="I5" s="644"/>
      <c r="J5" s="644"/>
      <c r="K5" s="644"/>
      <c r="L5" s="644"/>
      <c r="M5" s="277"/>
      <c r="N5" s="259"/>
      <c r="O5" s="5"/>
      <c r="P5" s="5"/>
      <c r="Q5" s="5"/>
      <c r="R5" s="5"/>
      <c r="S5" s="5"/>
      <c r="T5" s="5"/>
    </row>
    <row r="6" spans="1:20" ht="34.5" customHeight="1" x14ac:dyDescent="0.3">
      <c r="A6" s="645" t="str">
        <f>Experiencia!B5</f>
        <v>OBJETO: CONSTRUCCION SEGUNDA FASE EDIFICIO FACE, BLOQUE 1, SECTOR NORTE, UNIVERSIDAD DE NARIÑO SEDE TOROBAJO - DEPARTAMENTO DE NARIÑO.</v>
      </c>
      <c r="B6" s="645"/>
      <c r="C6" s="645"/>
      <c r="D6" s="645"/>
      <c r="E6" s="645"/>
      <c r="F6" s="645"/>
      <c r="G6" s="645"/>
      <c r="H6" s="645"/>
      <c r="I6" s="645"/>
      <c r="J6" s="645"/>
      <c r="K6" s="645"/>
      <c r="L6" s="645"/>
      <c r="M6" s="278"/>
      <c r="N6" s="260"/>
      <c r="O6" s="6"/>
      <c r="P6" s="6"/>
      <c r="Q6" s="6"/>
      <c r="R6" s="6"/>
      <c r="S6" s="6"/>
      <c r="T6" s="6"/>
    </row>
    <row r="7" spans="1:20" x14ac:dyDescent="0.3">
      <c r="A7" s="646" t="str">
        <f>Experiencia!B6</f>
        <v>FECHA:   29 de agosto de 2019</v>
      </c>
      <c r="B7" s="646"/>
      <c r="C7" s="646"/>
      <c r="D7" s="646"/>
      <c r="E7" s="646"/>
      <c r="F7" s="646"/>
      <c r="G7" s="646"/>
      <c r="H7" s="646"/>
      <c r="I7" s="646"/>
      <c r="J7" s="646"/>
      <c r="K7" s="646"/>
      <c r="L7" s="646"/>
      <c r="M7" s="279"/>
      <c r="N7" s="260"/>
      <c r="O7" s="6"/>
      <c r="P7" s="6"/>
      <c r="Q7" s="6"/>
      <c r="R7" s="6"/>
      <c r="S7" s="6"/>
      <c r="T7" s="6"/>
    </row>
    <row r="9" spans="1:20" x14ac:dyDescent="0.3">
      <c r="A9" s="646" t="str">
        <f>+Experiencia!B8</f>
        <v>SECCION 14. EVALUACION DE LAS OFERTAS - ASIGNACION DE PUNTAJE</v>
      </c>
      <c r="B9" s="646"/>
      <c r="C9" s="646"/>
      <c r="D9" s="646"/>
      <c r="E9" s="646"/>
      <c r="F9" s="646"/>
      <c r="G9" s="646"/>
      <c r="H9" s="646"/>
      <c r="I9" s="646"/>
      <c r="J9" s="646"/>
      <c r="K9" s="646"/>
      <c r="L9" s="646"/>
      <c r="M9" s="279"/>
    </row>
    <row r="11" spans="1:20" x14ac:dyDescent="0.3">
      <c r="A11" s="7"/>
    </row>
    <row r="12" spans="1:20" ht="29.4" customHeight="1" thickBot="1" x14ac:dyDescent="0.35"/>
    <row r="13" spans="1:20" ht="155.4" customHeight="1" thickBot="1" x14ac:dyDescent="0.35">
      <c r="A13" s="425" t="s">
        <v>2</v>
      </c>
      <c r="B13" s="426" t="s">
        <v>3</v>
      </c>
      <c r="C13" s="427" t="s">
        <v>28</v>
      </c>
      <c r="D13" s="427" t="s">
        <v>32</v>
      </c>
      <c r="E13" s="459" t="s">
        <v>168</v>
      </c>
      <c r="F13" s="459" t="s">
        <v>169</v>
      </c>
      <c r="G13" s="428" t="s">
        <v>170</v>
      </c>
      <c r="H13" s="428" t="s">
        <v>171</v>
      </c>
      <c r="I13" s="428" t="s">
        <v>172</v>
      </c>
      <c r="J13" s="428" t="s">
        <v>173</v>
      </c>
      <c r="K13" s="428" t="s">
        <v>174</v>
      </c>
      <c r="L13" s="428" t="s">
        <v>175</v>
      </c>
      <c r="M13" s="428" t="s">
        <v>176</v>
      </c>
      <c r="N13" s="429" t="s">
        <v>113</v>
      </c>
      <c r="O13" s="430" t="s">
        <v>9</v>
      </c>
    </row>
    <row r="14" spans="1:20" s="396" customFormat="1" ht="16.95" customHeight="1" x14ac:dyDescent="0.3">
      <c r="A14" s="431" t="str">
        <f>Experiencia!B15</f>
        <v>001</v>
      </c>
      <c r="B14" s="434" t="s">
        <v>220</v>
      </c>
      <c r="C14" s="432"/>
      <c r="D14" s="432"/>
      <c r="E14" s="435"/>
      <c r="F14" s="435"/>
      <c r="G14" s="436"/>
      <c r="H14" s="437"/>
      <c r="I14" s="437"/>
      <c r="J14" s="438"/>
      <c r="K14" s="438"/>
      <c r="L14" s="438"/>
      <c r="M14" s="438"/>
      <c r="N14" s="438"/>
      <c r="O14" s="433" t="s">
        <v>122</v>
      </c>
      <c r="Q14" s="397"/>
    </row>
    <row r="15" spans="1:20" s="396" customFormat="1" ht="16.95" customHeight="1" x14ac:dyDescent="0.3">
      <c r="A15" s="393" t="str">
        <f>Experiencia!B16</f>
        <v>002</v>
      </c>
      <c r="B15" s="439" t="s">
        <v>267</v>
      </c>
      <c r="C15" s="394"/>
      <c r="D15" s="394"/>
      <c r="E15" s="440"/>
      <c r="F15" s="440"/>
      <c r="G15" s="441"/>
      <c r="H15" s="442"/>
      <c r="I15" s="442"/>
      <c r="J15" s="443"/>
      <c r="K15" s="443"/>
      <c r="L15" s="443"/>
      <c r="M15" s="443"/>
      <c r="N15" s="444"/>
      <c r="O15" s="395" t="s">
        <v>122</v>
      </c>
      <c r="Q15" s="397"/>
    </row>
    <row r="16" spans="1:20" s="396" customFormat="1" ht="30.6" x14ac:dyDescent="0.3">
      <c r="A16" s="393" t="str">
        <f>Experiencia!B17</f>
        <v>003</v>
      </c>
      <c r="B16" s="612" t="s">
        <v>399</v>
      </c>
      <c r="C16" s="394"/>
      <c r="D16" s="394"/>
      <c r="E16" s="445"/>
      <c r="F16" s="445"/>
      <c r="G16" s="441"/>
      <c r="H16" s="442"/>
      <c r="I16" s="442"/>
      <c r="J16" s="443"/>
      <c r="K16" s="443"/>
      <c r="L16" s="443"/>
      <c r="M16" s="443"/>
      <c r="N16" s="443"/>
      <c r="O16" s="395" t="s">
        <v>122</v>
      </c>
      <c r="Q16" s="397"/>
    </row>
    <row r="17" spans="1:18" s="396" customFormat="1" ht="16.95" customHeight="1" x14ac:dyDescent="0.3">
      <c r="A17" s="393" t="str">
        <f>Experiencia!B18</f>
        <v>004</v>
      </c>
      <c r="B17" s="439" t="s">
        <v>374</v>
      </c>
      <c r="C17" s="394"/>
      <c r="D17" s="394"/>
      <c r="E17" s="440"/>
      <c r="F17" s="440"/>
      <c r="G17" s="441"/>
      <c r="H17" s="442"/>
      <c r="I17" s="442"/>
      <c r="J17" s="443"/>
      <c r="K17" s="443"/>
      <c r="L17" s="443"/>
      <c r="M17" s="443"/>
      <c r="N17" s="444"/>
      <c r="O17" s="395" t="s">
        <v>122</v>
      </c>
      <c r="Q17" s="397"/>
    </row>
    <row r="18" spans="1:18" s="396" customFormat="1" ht="16.95" customHeight="1" x14ac:dyDescent="0.3">
      <c r="A18" s="393" t="str">
        <f>Experiencia!B19</f>
        <v>005</v>
      </c>
      <c r="B18" s="439" t="s">
        <v>400</v>
      </c>
      <c r="C18" s="394"/>
      <c r="D18" s="394"/>
      <c r="E18" s="440"/>
      <c r="F18" s="440"/>
      <c r="G18" s="441"/>
      <c r="H18" s="442"/>
      <c r="I18" s="442"/>
      <c r="J18" s="446"/>
      <c r="K18" s="446"/>
      <c r="L18" s="446"/>
      <c r="M18" s="446"/>
      <c r="N18" s="446"/>
      <c r="O18" s="395" t="s">
        <v>122</v>
      </c>
      <c r="Q18" s="397"/>
    </row>
    <row r="19" spans="1:18" s="396" customFormat="1" ht="16.95" customHeight="1" x14ac:dyDescent="0.3">
      <c r="A19" s="393" t="str">
        <f>Experiencia!B20</f>
        <v>006</v>
      </c>
      <c r="B19" s="439" t="s">
        <v>435</v>
      </c>
      <c r="C19" s="398"/>
      <c r="D19" s="398"/>
      <c r="E19" s="440"/>
      <c r="F19" s="440"/>
      <c r="G19" s="441"/>
      <c r="H19" s="442"/>
      <c r="I19" s="442"/>
      <c r="J19" s="456"/>
      <c r="K19" s="456"/>
      <c r="L19" s="456"/>
      <c r="M19" s="456"/>
      <c r="N19" s="457"/>
      <c r="O19" s="395" t="s">
        <v>122</v>
      </c>
      <c r="Q19" s="397"/>
    </row>
    <row r="20" spans="1:18" s="396" customFormat="1" ht="16.95" customHeight="1" x14ac:dyDescent="0.3">
      <c r="A20" s="393" t="str">
        <f>Experiencia!B21</f>
        <v>007</v>
      </c>
      <c r="B20" s="439" t="s">
        <v>307</v>
      </c>
      <c r="C20" s="394"/>
      <c r="D20" s="394"/>
      <c r="E20" s="440"/>
      <c r="F20" s="440"/>
      <c r="G20" s="441"/>
      <c r="H20" s="442"/>
      <c r="I20" s="442"/>
      <c r="J20" s="446"/>
      <c r="K20" s="446"/>
      <c r="L20" s="446"/>
      <c r="M20" s="446"/>
      <c r="N20" s="446"/>
      <c r="O20" s="395" t="s">
        <v>122</v>
      </c>
      <c r="Q20" s="397"/>
    </row>
    <row r="21" spans="1:18" s="396" customFormat="1" ht="16.95" customHeight="1" x14ac:dyDescent="0.3">
      <c r="A21" s="393" t="str">
        <f>Experiencia!B22</f>
        <v>008</v>
      </c>
      <c r="B21" s="439"/>
      <c r="C21" s="394"/>
      <c r="D21" s="394"/>
      <c r="E21" s="440"/>
      <c r="F21" s="440"/>
      <c r="G21" s="441"/>
      <c r="H21" s="442"/>
      <c r="I21" s="442"/>
      <c r="J21" s="399"/>
      <c r="K21" s="399"/>
      <c r="L21" s="399"/>
      <c r="M21" s="399"/>
      <c r="N21" s="399"/>
      <c r="O21" s="395" t="s">
        <v>122</v>
      </c>
      <c r="Q21" s="397"/>
    </row>
    <row r="22" spans="1:18" s="396" customFormat="1" ht="16.8" x14ac:dyDescent="0.3">
      <c r="A22" s="393" t="str">
        <f>Experiencia!B23</f>
        <v>009</v>
      </c>
      <c r="B22" s="439"/>
      <c r="C22" s="394"/>
      <c r="D22" s="394"/>
      <c r="E22" s="445"/>
      <c r="F22" s="445"/>
      <c r="G22" s="441"/>
      <c r="H22" s="442"/>
      <c r="I22" s="442"/>
      <c r="J22" s="399"/>
      <c r="K22" s="399"/>
      <c r="L22" s="399"/>
      <c r="M22" s="399"/>
      <c r="N22" s="399"/>
      <c r="O22" s="395" t="s">
        <v>122</v>
      </c>
      <c r="Q22" s="397"/>
    </row>
    <row r="23" spans="1:18" s="10" customFormat="1" ht="18.75" customHeight="1" thickBot="1" x14ac:dyDescent="0.4">
      <c r="A23" s="8"/>
      <c r="B23" s="447"/>
      <c r="C23" s="9"/>
      <c r="D23" s="9"/>
      <c r="E23" s="448"/>
      <c r="F23" s="448"/>
      <c r="G23" s="9"/>
      <c r="H23" s="449"/>
      <c r="I23" s="449"/>
      <c r="J23" s="9"/>
      <c r="K23" s="9"/>
      <c r="L23" s="9"/>
      <c r="M23" s="9"/>
      <c r="N23" s="9"/>
      <c r="O23" s="20"/>
      <c r="Q23" s="15"/>
    </row>
    <row r="24" spans="1:18" x14ac:dyDescent="0.3">
      <c r="A24" s="19"/>
      <c r="N24" s="469">
        <f>+N19-N15</f>
        <v>0</v>
      </c>
      <c r="P24" s="258"/>
      <c r="R24" s="4"/>
    </row>
    <row r="25" spans="1:18" ht="15.6" x14ac:dyDescent="0.3">
      <c r="B25" s="11" t="s">
        <v>108</v>
      </c>
      <c r="C25" s="11"/>
      <c r="D25" s="21">
        <v>1288533826</v>
      </c>
      <c r="N25" s="261"/>
    </row>
    <row r="26" spans="1:18" ht="15.6" x14ac:dyDescent="0.3">
      <c r="B26" s="11" t="s">
        <v>18</v>
      </c>
      <c r="C26" s="11"/>
      <c r="D26" s="21">
        <f>D25*B26</f>
        <v>1159680443.4000001</v>
      </c>
      <c r="N26" s="258">
        <f>30500*1.16</f>
        <v>35380</v>
      </c>
    </row>
    <row r="27" spans="1:18" ht="18" x14ac:dyDescent="0.35">
      <c r="B27" s="12" t="s">
        <v>17</v>
      </c>
      <c r="C27" s="12"/>
      <c r="D27" s="177">
        <f>+'PUNTAJE PRECIO'!C70</f>
        <v>0</v>
      </c>
    </row>
    <row r="28" spans="1:18" ht="15.6" hidden="1" x14ac:dyDescent="0.3">
      <c r="B28" s="12" t="s">
        <v>10</v>
      </c>
      <c r="C28" s="12"/>
    </row>
    <row r="29" spans="1:18" ht="15.6" hidden="1" x14ac:dyDescent="0.3">
      <c r="B29" s="12" t="s">
        <v>11</v>
      </c>
      <c r="C29" s="12"/>
    </row>
    <row r="30" spans="1:18" ht="18" hidden="1" customHeight="1" x14ac:dyDescent="0.3">
      <c r="B30" s="12" t="s">
        <v>12</v>
      </c>
      <c r="C30" s="12"/>
      <c r="D30" s="13" t="e">
        <f>+[1]PUNTAJE!C1</f>
        <v>#REF!</v>
      </c>
    </row>
    <row r="31" spans="1:18" hidden="1" x14ac:dyDescent="0.3"/>
    <row r="32" spans="1:18" ht="15.6" x14ac:dyDescent="0.3">
      <c r="B32" s="12" t="s">
        <v>10</v>
      </c>
    </row>
    <row r="33" spans="1:23" ht="15.6" x14ac:dyDescent="0.3">
      <c r="B33" s="12" t="s">
        <v>11</v>
      </c>
    </row>
    <row r="34" spans="1:23" ht="15.6" x14ac:dyDescent="0.3">
      <c r="B34" s="12" t="s">
        <v>33</v>
      </c>
      <c r="D34" s="22">
        <f>+'PUNTAJE PRECIO'!C10</f>
        <v>1288533826</v>
      </c>
    </row>
    <row r="35" spans="1:23" x14ac:dyDescent="0.3">
      <c r="A35" s="458" t="s">
        <v>177</v>
      </c>
      <c r="C35" s="212"/>
      <c r="D35" s="212"/>
      <c r="N35"/>
      <c r="P35" s="258"/>
      <c r="R35" s="4"/>
    </row>
    <row r="36" spans="1:23" s="454" customFormat="1" x14ac:dyDescent="0.3">
      <c r="A36" s="451">
        <v>1</v>
      </c>
      <c r="B36" s="451" t="s">
        <v>508</v>
      </c>
      <c r="C36" s="452"/>
      <c r="D36" s="453"/>
      <c r="E36" s="451"/>
      <c r="F36" s="451"/>
      <c r="G36" s="451"/>
      <c r="H36" s="451"/>
      <c r="I36" s="451"/>
      <c r="J36" s="451"/>
      <c r="K36" s="451"/>
      <c r="L36" s="451"/>
      <c r="M36" s="451"/>
      <c r="N36" s="451"/>
      <c r="P36" s="455"/>
    </row>
    <row r="37" spans="1:23" s="454" customFormat="1" x14ac:dyDescent="0.3">
      <c r="A37" s="451">
        <v>2</v>
      </c>
      <c r="B37" s="451" t="s">
        <v>509</v>
      </c>
      <c r="C37" s="452"/>
      <c r="D37" s="453"/>
      <c r="E37" s="451"/>
      <c r="F37" s="451"/>
      <c r="G37" s="451"/>
      <c r="H37" s="451"/>
      <c r="I37" s="451"/>
      <c r="J37" s="451"/>
      <c r="K37" s="451"/>
      <c r="L37" s="451"/>
      <c r="M37" s="451"/>
      <c r="N37" s="451"/>
      <c r="P37" s="455"/>
    </row>
    <row r="38" spans="1:23" s="454" customFormat="1" x14ac:dyDescent="0.3">
      <c r="A38" s="451">
        <v>3</v>
      </c>
      <c r="B38" s="451" t="s">
        <v>510</v>
      </c>
      <c r="C38" s="452"/>
      <c r="D38" s="453"/>
      <c r="E38" s="451"/>
      <c r="F38" s="451"/>
      <c r="G38" s="451"/>
      <c r="H38" s="451"/>
      <c r="I38" s="451"/>
      <c r="J38" s="451"/>
      <c r="K38" s="451"/>
      <c r="L38" s="451"/>
      <c r="M38" s="451"/>
      <c r="N38" s="451"/>
      <c r="P38" s="455"/>
    </row>
    <row r="39" spans="1:23" s="454" customFormat="1" x14ac:dyDescent="0.3">
      <c r="A39" s="451">
        <v>4</v>
      </c>
      <c r="B39" s="451" t="s">
        <v>511</v>
      </c>
      <c r="C39" s="452"/>
      <c r="D39" s="453"/>
      <c r="E39" s="451"/>
      <c r="F39" s="451"/>
      <c r="G39" s="451"/>
      <c r="H39" s="451"/>
      <c r="I39" s="451"/>
      <c r="J39" s="451"/>
      <c r="K39" s="451"/>
      <c r="L39" s="451"/>
      <c r="M39" s="451"/>
      <c r="N39" s="451"/>
      <c r="P39" s="455"/>
    </row>
    <row r="40" spans="1:23" s="454" customFormat="1" x14ac:dyDescent="0.3">
      <c r="A40" s="451">
        <v>5</v>
      </c>
      <c r="B40" s="451" t="s">
        <v>512</v>
      </c>
      <c r="C40" s="452"/>
      <c r="D40" s="453"/>
      <c r="E40" s="451"/>
      <c r="F40" s="451"/>
      <c r="G40" s="451"/>
      <c r="H40" s="451"/>
      <c r="I40" s="451"/>
      <c r="J40" s="451"/>
      <c r="K40" s="451"/>
      <c r="L40" s="451"/>
      <c r="M40" s="451"/>
      <c r="N40" s="451"/>
      <c r="P40" s="455"/>
    </row>
    <row r="41" spans="1:23" s="454" customFormat="1" x14ac:dyDescent="0.3">
      <c r="A41" s="451">
        <v>6</v>
      </c>
      <c r="B41" s="451" t="s">
        <v>513</v>
      </c>
      <c r="C41" s="452"/>
      <c r="D41" s="453"/>
      <c r="E41" s="451"/>
      <c r="F41" s="451"/>
      <c r="G41" s="451"/>
      <c r="H41" s="451"/>
      <c r="I41" s="451"/>
      <c r="J41" s="451"/>
      <c r="K41" s="451"/>
      <c r="L41" s="451"/>
      <c r="M41" s="451"/>
      <c r="N41" s="451"/>
      <c r="P41" s="455"/>
    </row>
    <row r="42" spans="1:23" s="454" customFormat="1" x14ac:dyDescent="0.3">
      <c r="A42" s="451">
        <v>7</v>
      </c>
      <c r="B42" s="451" t="s">
        <v>514</v>
      </c>
      <c r="C42" s="452"/>
      <c r="D42" s="453"/>
      <c r="E42" s="451"/>
      <c r="F42" s="451"/>
      <c r="G42" s="451"/>
      <c r="H42" s="451"/>
      <c r="I42" s="451"/>
      <c r="J42" s="451"/>
      <c r="K42" s="451"/>
      <c r="L42" s="451"/>
      <c r="M42" s="451"/>
      <c r="N42" s="451"/>
      <c r="P42" s="455"/>
    </row>
    <row r="43" spans="1:23" s="454" customFormat="1" x14ac:dyDescent="0.3">
      <c r="A43" s="451"/>
      <c r="B43" s="451"/>
      <c r="C43" s="452"/>
      <c r="D43" s="453"/>
      <c r="E43" s="451"/>
      <c r="F43" s="451"/>
      <c r="G43" s="451"/>
      <c r="H43" s="451"/>
      <c r="I43" s="451"/>
      <c r="J43" s="451"/>
      <c r="K43" s="451"/>
      <c r="L43" s="451"/>
      <c r="M43" s="451"/>
      <c r="N43" s="451"/>
      <c r="P43" s="455"/>
    </row>
    <row r="44" spans="1:23" s="2" customFormat="1" ht="39.75" customHeight="1" x14ac:dyDescent="0.3">
      <c r="B44" s="204" t="s">
        <v>105</v>
      </c>
      <c r="C44" s="200"/>
      <c r="F44" s="200" t="s">
        <v>34</v>
      </c>
      <c r="G44"/>
      <c r="H44"/>
      <c r="I44"/>
      <c r="J44"/>
      <c r="K44"/>
      <c r="L44"/>
      <c r="M44"/>
      <c r="N44" s="262"/>
      <c r="O44" s="200"/>
      <c r="P44" s="200"/>
      <c r="Q44" s="200"/>
      <c r="R44" s="200"/>
      <c r="S44" s="200"/>
      <c r="T44" s="200"/>
      <c r="U44" s="200"/>
      <c r="V44" s="199"/>
      <c r="W44" s="199"/>
    </row>
    <row r="45" spans="1:23" s="2" customFormat="1" x14ac:dyDescent="0.3">
      <c r="B45" s="225"/>
      <c r="D45"/>
      <c r="E45"/>
      <c r="F45" s="199"/>
      <c r="G45"/>
      <c r="H45"/>
      <c r="I45"/>
      <c r="J45"/>
      <c r="K45"/>
      <c r="L45"/>
      <c r="M45"/>
      <c r="N45" s="263"/>
      <c r="O45" s="199"/>
      <c r="P45" s="199"/>
      <c r="Q45" s="202"/>
      <c r="R45" s="199"/>
      <c r="S45" s="202"/>
      <c r="T45" s="199"/>
      <c r="U45" s="199"/>
    </row>
    <row r="48" spans="1:23" x14ac:dyDescent="0.3">
      <c r="B48" s="159" t="s">
        <v>180</v>
      </c>
    </row>
    <row r="49" spans="2:4" x14ac:dyDescent="0.3">
      <c r="B49" s="160" t="s">
        <v>92</v>
      </c>
    </row>
    <row r="53" spans="2:4" x14ac:dyDescent="0.3">
      <c r="B53" s="204" t="s">
        <v>103</v>
      </c>
    </row>
    <row r="56" spans="2:4" x14ac:dyDescent="0.3">
      <c r="B56" s="208"/>
    </row>
    <row r="57" spans="2:4" x14ac:dyDescent="0.3">
      <c r="B57" s="267" t="s">
        <v>185</v>
      </c>
      <c r="D57" s="205" t="s">
        <v>183</v>
      </c>
    </row>
    <row r="58" spans="2:4" x14ac:dyDescent="0.3">
      <c r="B58" t="s">
        <v>186</v>
      </c>
      <c r="D58" s="264" t="s">
        <v>182</v>
      </c>
    </row>
    <row r="62" spans="2:4" x14ac:dyDescent="0.3">
      <c r="B62" s="205" t="s">
        <v>184</v>
      </c>
      <c r="D62" s="205" t="s">
        <v>181</v>
      </c>
    </row>
    <row r="63" spans="2:4" x14ac:dyDescent="0.3">
      <c r="B63" s="264" t="s">
        <v>182</v>
      </c>
      <c r="D63" s="264" t="s">
        <v>182</v>
      </c>
    </row>
    <row r="68" spans="2:2" x14ac:dyDescent="0.3">
      <c r="B68" s="205" t="s">
        <v>516</v>
      </c>
    </row>
    <row r="69" spans="2:2" x14ac:dyDescent="0.3">
      <c r="B69" s="611" t="s">
        <v>182</v>
      </c>
    </row>
  </sheetData>
  <mergeCells count="4">
    <mergeCell ref="A5:L5"/>
    <mergeCell ref="A6:L6"/>
    <mergeCell ref="A7:L7"/>
    <mergeCell ref="A9:L9"/>
  </mergeCells>
  <printOptions horizontalCentered="1"/>
  <pageMargins left="0.70866141732283472" right="0.70866141732283472" top="0.74803149606299213" bottom="0.74803149606299213" header="0.31496062992125984" footer="0.31496062992125984"/>
  <pageSetup scale="53" orientation="landscape"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976"/>
  <sheetViews>
    <sheetView topLeftCell="A429" zoomScale="70" zoomScaleNormal="70" zoomScaleSheetLayoutView="85" workbookViewId="0">
      <selection activeCell="F433" sqref="F433"/>
    </sheetView>
  </sheetViews>
  <sheetFormatPr baseColWidth="10" defaultColWidth="11.44140625" defaultRowHeight="14.4" x14ac:dyDescent="0.3"/>
  <cols>
    <col min="1" max="1" width="8.33203125" style="57" customWidth="1"/>
    <col min="2" max="2" width="15" style="57" customWidth="1"/>
    <col min="3" max="3" width="21.6640625" style="57" customWidth="1"/>
    <col min="4" max="4" width="20.6640625" style="57" customWidth="1"/>
    <col min="5" max="5" width="22" style="57" customWidth="1"/>
    <col min="6" max="6" width="29.88671875" style="57" customWidth="1"/>
    <col min="7" max="7" width="29.6640625" style="57" customWidth="1"/>
    <col min="8" max="8" width="25.33203125" style="465" customWidth="1"/>
    <col min="9" max="9" width="17.33203125" style="57" customWidth="1"/>
    <col min="10" max="10" width="15.5546875" style="57" customWidth="1"/>
    <col min="11" max="12" width="16.6640625" style="57" customWidth="1"/>
    <col min="13" max="13" width="14.109375" style="57" customWidth="1"/>
    <col min="14" max="14" width="19.6640625" style="57" customWidth="1"/>
    <col min="15" max="15" width="20.33203125" style="57" customWidth="1"/>
    <col min="16" max="16" width="24" style="57" customWidth="1"/>
    <col min="17" max="17" width="33.5546875" style="57" customWidth="1"/>
    <col min="18" max="18" width="35.88671875" style="57" customWidth="1"/>
    <col min="19" max="19" width="45.109375" style="57" customWidth="1"/>
    <col min="20" max="20" width="11.44140625" style="57"/>
    <col min="21" max="21" width="45.33203125" style="465" customWidth="1"/>
    <col min="22" max="22" width="13.44140625" style="465" customWidth="1"/>
    <col min="23" max="23" width="14.33203125" style="465" customWidth="1"/>
    <col min="24" max="24" width="17.44140625" style="57" customWidth="1"/>
    <col min="25" max="27" width="11.44140625" style="57"/>
    <col min="28" max="28" width="17" style="57" customWidth="1"/>
    <col min="29" max="31" width="11.44140625" style="57"/>
    <col min="32" max="32" width="19.6640625" style="57" customWidth="1"/>
    <col min="33" max="35" width="11.44140625" style="57"/>
    <col min="36" max="36" width="12.6640625" style="57" bestFit="1" customWidth="1"/>
    <col min="37" max="39" width="11.44140625" style="57"/>
    <col min="40" max="40" width="12.6640625" style="57" bestFit="1" customWidth="1"/>
    <col min="41" max="43" width="11.44140625" style="57"/>
    <col min="44" max="44" width="12.6640625" style="57" bestFit="1" customWidth="1"/>
    <col min="45" max="47" width="11.44140625" style="57"/>
    <col min="48" max="48" width="12.6640625" style="57" bestFit="1" customWidth="1"/>
    <col min="49" max="16384" width="11.44140625" style="57"/>
  </cols>
  <sheetData>
    <row r="1" spans="1:26" ht="36" customHeight="1" x14ac:dyDescent="0.3">
      <c r="A1" s="647" t="str">
        <f>+Experiencia!B5</f>
        <v>OBJETO: CONSTRUCCION SEGUNDA FASE EDIFICIO FACE, BLOQUE 1, SECTOR NORTE, UNIVERSIDAD DE NARIÑO SEDE TOROBAJO - DEPARTAMENTO DE NARIÑO.</v>
      </c>
      <c r="B1" s="647"/>
      <c r="C1" s="647"/>
      <c r="D1" s="647"/>
      <c r="E1" s="647"/>
      <c r="F1" s="647"/>
      <c r="G1" s="647"/>
      <c r="H1" s="647"/>
      <c r="I1" s="647"/>
      <c r="J1" s="647"/>
      <c r="K1" s="647"/>
      <c r="L1" s="647"/>
      <c r="M1" s="647"/>
      <c r="N1" s="647"/>
      <c r="O1" s="647"/>
      <c r="P1" s="221"/>
    </row>
    <row r="2" spans="1:26" x14ac:dyDescent="0.3">
      <c r="A2" s="58" t="s">
        <v>215</v>
      </c>
      <c r="B2" s="59"/>
      <c r="C2" s="59"/>
      <c r="D2" s="59"/>
      <c r="E2" s="59"/>
      <c r="F2" s="59"/>
      <c r="G2" s="59"/>
      <c r="H2" s="534"/>
      <c r="I2" s="59"/>
      <c r="J2" s="59"/>
      <c r="K2" s="59"/>
      <c r="L2" s="59"/>
      <c r="M2" s="59"/>
      <c r="N2" s="59"/>
      <c r="O2" s="59"/>
      <c r="P2" s="59"/>
    </row>
    <row r="3" spans="1:26" ht="26.4" thickBot="1" x14ac:dyDescent="0.55000000000000004">
      <c r="A3" s="351" t="str">
        <f>+Experiencia!B15</f>
        <v>001</v>
      </c>
    </row>
    <row r="4" spans="1:26" s="163" customFormat="1" ht="15" thickBot="1" x14ac:dyDescent="0.35">
      <c r="A4" s="350" t="str">
        <f>+Experiencia!C15</f>
        <v>CONSORCIO UDENAR FACEA 2019</v>
      </c>
      <c r="B4" s="178"/>
      <c r="C4" s="178"/>
      <c r="D4" s="178"/>
      <c r="E4" s="178"/>
      <c r="F4" s="178"/>
      <c r="G4" s="178"/>
      <c r="H4" s="535"/>
      <c r="I4" s="178"/>
      <c r="J4" s="178"/>
      <c r="K4" s="178"/>
      <c r="L4" s="178"/>
      <c r="M4" s="178"/>
      <c r="N4" s="178"/>
      <c r="O4" s="179"/>
      <c r="P4" s="170"/>
      <c r="U4" s="465"/>
      <c r="V4" s="465"/>
      <c r="W4" s="465"/>
    </row>
    <row r="5" spans="1:26" s="169" customFormat="1" ht="35.4" x14ac:dyDescent="0.3">
      <c r="A5" s="180" t="s">
        <v>2</v>
      </c>
      <c r="B5" s="182" t="s">
        <v>189</v>
      </c>
      <c r="C5" s="181" t="s">
        <v>35</v>
      </c>
      <c r="D5" s="182" t="s">
        <v>96</v>
      </c>
      <c r="E5" s="182" t="s">
        <v>165</v>
      </c>
      <c r="F5" s="182" t="s">
        <v>97</v>
      </c>
      <c r="G5" s="182" t="s">
        <v>5</v>
      </c>
      <c r="H5" s="536" t="s">
        <v>99</v>
      </c>
      <c r="I5" s="182" t="s">
        <v>203</v>
      </c>
      <c r="J5" s="182" t="s">
        <v>141</v>
      </c>
      <c r="K5" s="182" t="s">
        <v>224</v>
      </c>
      <c r="L5" s="182" t="s">
        <v>204</v>
      </c>
      <c r="M5" s="182" t="s">
        <v>140</v>
      </c>
      <c r="N5" s="182" t="s">
        <v>214</v>
      </c>
      <c r="O5" s="182" t="s">
        <v>100</v>
      </c>
      <c r="P5" s="182" t="s">
        <v>94</v>
      </c>
      <c r="Q5" s="171"/>
      <c r="U5" s="465"/>
      <c r="V5" s="465"/>
      <c r="W5" s="465"/>
    </row>
    <row r="6" spans="1:26" s="312" customFormat="1" ht="36" x14ac:dyDescent="0.3">
      <c r="A6" s="305">
        <v>1</v>
      </c>
      <c r="B6" s="305">
        <v>150</v>
      </c>
      <c r="C6" s="305" t="s">
        <v>179</v>
      </c>
      <c r="D6" s="305" t="s">
        <v>225</v>
      </c>
      <c r="E6" s="305" t="s">
        <v>221</v>
      </c>
      <c r="F6" s="305" t="s">
        <v>222</v>
      </c>
      <c r="G6" s="305" t="s">
        <v>223</v>
      </c>
      <c r="H6" s="537">
        <v>3148514254.0100002</v>
      </c>
      <c r="I6" s="313">
        <v>2011</v>
      </c>
      <c r="J6" s="306">
        <f>+H6/LOOKUP(I6,'TABLA SMMLV'!$B$2:$C$28)</f>
        <v>5878.4806833644516</v>
      </c>
      <c r="K6" s="307">
        <f>3059-230.4</f>
        <v>2828.6</v>
      </c>
      <c r="L6" s="308">
        <v>0.7</v>
      </c>
      <c r="M6" s="308">
        <v>1</v>
      </c>
      <c r="N6" s="309">
        <f>+M6*L6*K6</f>
        <v>1980.0199999999998</v>
      </c>
      <c r="O6" s="309">
        <f>+M6*L6*J6</f>
        <v>4114.9364783551155</v>
      </c>
      <c r="P6" s="310"/>
      <c r="Q6" s="311"/>
      <c r="U6" s="470"/>
      <c r="V6" s="470"/>
      <c r="W6" s="470"/>
    </row>
    <row r="7" spans="1:26" s="312" customFormat="1" ht="46.2" customHeight="1" x14ac:dyDescent="0.3">
      <c r="A7" s="305">
        <v>2</v>
      </c>
      <c r="B7" s="305">
        <v>169</v>
      </c>
      <c r="C7" s="305" t="s">
        <v>226</v>
      </c>
      <c r="D7" s="305" t="s">
        <v>178</v>
      </c>
      <c r="E7" s="305" t="s">
        <v>233</v>
      </c>
      <c r="F7" s="305" t="s">
        <v>227</v>
      </c>
      <c r="G7" s="305" t="s">
        <v>228</v>
      </c>
      <c r="H7" s="537">
        <v>3253800686</v>
      </c>
      <c r="I7" s="313">
        <v>2015</v>
      </c>
      <c r="J7" s="306">
        <f>+H7/LOOKUP(I7,'TABLA SMMLV'!$B$2:$C$28)</f>
        <v>5049.7411127492824</v>
      </c>
      <c r="K7" s="305">
        <v>2165.2399999999998</v>
      </c>
      <c r="L7" s="308">
        <v>0.5</v>
      </c>
      <c r="M7" s="308">
        <v>1</v>
      </c>
      <c r="N7" s="309">
        <f>+M7*L7*K7</f>
        <v>1082.6199999999999</v>
      </c>
      <c r="O7" s="309">
        <f>+M7*L7*J7</f>
        <v>2524.8705563746412</v>
      </c>
      <c r="P7" s="310"/>
      <c r="Q7" s="311"/>
      <c r="U7" s="470"/>
      <c r="V7" s="470"/>
      <c r="W7" s="470"/>
    </row>
    <row r="8" spans="1:26" s="163" customFormat="1" ht="38.4" customHeight="1" x14ac:dyDescent="0.3">
      <c r="A8" s="183">
        <v>3</v>
      </c>
      <c r="B8" s="183">
        <v>184</v>
      </c>
      <c r="C8" s="183" t="s">
        <v>229</v>
      </c>
      <c r="D8" s="183" t="s">
        <v>230</v>
      </c>
      <c r="E8" s="183" t="s">
        <v>221</v>
      </c>
      <c r="F8" s="305" t="s">
        <v>232</v>
      </c>
      <c r="G8" s="186" t="s">
        <v>231</v>
      </c>
      <c r="H8" s="538">
        <v>484379081.06</v>
      </c>
      <c r="I8" s="304">
        <v>2007</v>
      </c>
      <c r="J8" s="306">
        <f>+H8/LOOKUP(I8,'TABLA SMMLV'!$B$2:$C$28)</f>
        <v>1116.852850034586</v>
      </c>
      <c r="K8" s="305">
        <v>972.61</v>
      </c>
      <c r="L8" s="308">
        <v>0.2</v>
      </c>
      <c r="M8" s="308">
        <v>1</v>
      </c>
      <c r="N8" s="309">
        <f>+M8*L8*K8</f>
        <v>194.52200000000002</v>
      </c>
      <c r="O8" s="309">
        <f>+M8*L8*J8</f>
        <v>223.37057000691721</v>
      </c>
      <c r="P8" s="360"/>
      <c r="Q8" s="315"/>
      <c r="R8" s="314"/>
      <c r="U8" s="465"/>
      <c r="V8" s="465"/>
      <c r="W8" s="465"/>
    </row>
    <row r="9" spans="1:26" s="312" customFormat="1" ht="45.6" customHeight="1" x14ac:dyDescent="0.3">
      <c r="A9" s="305">
        <v>4</v>
      </c>
      <c r="B9" s="183">
        <v>184</v>
      </c>
      <c r="C9" s="183" t="s">
        <v>229</v>
      </c>
      <c r="D9" s="183" t="s">
        <v>230</v>
      </c>
      <c r="E9" s="183" t="s">
        <v>233</v>
      </c>
      <c r="F9" s="305" t="s">
        <v>232</v>
      </c>
      <c r="G9" s="186" t="s">
        <v>231</v>
      </c>
      <c r="H9" s="538">
        <v>484379081.06</v>
      </c>
      <c r="I9" s="304">
        <v>2007</v>
      </c>
      <c r="J9" s="306">
        <f>+H9/LOOKUP(I9,'TABLA SMMLV'!$B$2:$C$28)</f>
        <v>1116.852850034586</v>
      </c>
      <c r="K9" s="305">
        <v>972.61</v>
      </c>
      <c r="L9" s="308">
        <v>0.8</v>
      </c>
      <c r="M9" s="308">
        <v>1</v>
      </c>
      <c r="N9" s="309">
        <f>+M9*L9*K9</f>
        <v>778.08800000000008</v>
      </c>
      <c r="O9" s="309">
        <f>+M9*L9*J9</f>
        <v>893.48228002766882</v>
      </c>
      <c r="P9" s="310"/>
      <c r="Q9" s="311"/>
      <c r="U9" s="470"/>
      <c r="V9" s="470"/>
      <c r="W9" s="470"/>
    </row>
    <row r="10" spans="1:26" s="163" customFormat="1" x14ac:dyDescent="0.3">
      <c r="A10" s="183">
        <v>5</v>
      </c>
      <c r="B10" s="183"/>
      <c r="C10" s="183"/>
      <c r="D10" s="183"/>
      <c r="E10" s="183"/>
      <c r="F10" s="183"/>
      <c r="G10" s="186"/>
      <c r="H10" s="538"/>
      <c r="I10" s="304"/>
      <c r="J10" s="306"/>
      <c r="K10" s="186"/>
      <c r="L10" s="188"/>
      <c r="M10" s="188"/>
      <c r="N10" s="316">
        <v>0</v>
      </c>
      <c r="O10" s="309">
        <v>0</v>
      </c>
      <c r="P10" s="310"/>
      <c r="Q10" s="173"/>
      <c r="U10" s="465"/>
      <c r="V10" s="465"/>
      <c r="W10" s="465"/>
    </row>
    <row r="11" spans="1:26" s="163" customFormat="1" x14ac:dyDescent="0.3">
      <c r="A11" s="183"/>
      <c r="B11" s="183"/>
      <c r="C11" s="183"/>
      <c r="D11" s="183"/>
      <c r="E11" s="183"/>
      <c r="F11" s="183"/>
      <c r="G11" s="186"/>
      <c r="H11" s="538"/>
      <c r="I11" s="304"/>
      <c r="J11" s="186"/>
      <c r="K11" s="186"/>
      <c r="L11" s="188"/>
      <c r="M11" s="188"/>
      <c r="N11" s="188"/>
      <c r="O11" s="188"/>
      <c r="P11" s="185"/>
      <c r="Q11" s="173"/>
      <c r="U11" s="465"/>
      <c r="V11" s="465"/>
      <c r="W11" s="465"/>
    </row>
    <row r="12" spans="1:26" s="163" customFormat="1" ht="15" thickBot="1" x14ac:dyDescent="0.35">
      <c r="A12" s="183"/>
      <c r="B12" s="183"/>
      <c r="C12" s="183"/>
      <c r="D12" s="183"/>
      <c r="E12" s="183"/>
      <c r="F12" s="183"/>
      <c r="G12" s="186"/>
      <c r="H12" s="538"/>
      <c r="I12" s="187"/>
      <c r="J12" s="186"/>
      <c r="K12" s="186"/>
      <c r="L12" s="188"/>
      <c r="M12" s="188"/>
      <c r="N12" s="188"/>
      <c r="O12" s="188"/>
      <c r="P12" s="185"/>
      <c r="Q12" s="173"/>
      <c r="U12" s="465"/>
      <c r="V12" s="465"/>
      <c r="W12" s="465"/>
    </row>
    <row r="13" spans="1:26" s="163" customFormat="1" ht="29.4" thickBot="1" x14ac:dyDescent="0.35">
      <c r="A13" s="189"/>
      <c r="B13" s="189"/>
      <c r="C13" s="189"/>
      <c r="D13" s="189"/>
      <c r="E13" s="189"/>
      <c r="F13" s="189"/>
      <c r="G13" s="476" t="s">
        <v>234</v>
      </c>
      <c r="H13" s="539"/>
      <c r="I13" s="190"/>
      <c r="J13" s="190"/>
      <c r="K13" s="190"/>
      <c r="L13" s="191"/>
      <c r="M13" s="191"/>
      <c r="N13" s="198">
        <f>SUM(N6:N12)</f>
        <v>4035.2499999999995</v>
      </c>
      <c r="O13" s="192"/>
      <c r="P13" s="193"/>
      <c r="Q13" s="173"/>
      <c r="U13" s="480" t="s">
        <v>250</v>
      </c>
      <c r="V13" s="465" t="s">
        <v>251</v>
      </c>
      <c r="W13" s="482" t="s">
        <v>252</v>
      </c>
      <c r="X13" s="480" t="s">
        <v>250</v>
      </c>
      <c r="Y13" s="465" t="s">
        <v>251</v>
      </c>
      <c r="Z13" s="482" t="s">
        <v>252</v>
      </c>
    </row>
    <row r="14" spans="1:26" s="163" customFormat="1" ht="15.75" customHeight="1" thickBot="1" x14ac:dyDescent="0.35">
      <c r="A14" s="189"/>
      <c r="B14" s="189"/>
      <c r="C14" s="189"/>
      <c r="D14" s="189"/>
      <c r="E14" s="189"/>
      <c r="F14" s="189"/>
      <c r="G14" s="476" t="s">
        <v>235</v>
      </c>
      <c r="H14" s="539"/>
      <c r="I14" s="190"/>
      <c r="J14" s="190"/>
      <c r="K14" s="190"/>
      <c r="L14" s="190"/>
      <c r="M14" s="190"/>
      <c r="N14" s="198"/>
      <c r="O14" s="194">
        <f>SUM(O6:O13)</f>
        <v>7756.6598847643418</v>
      </c>
      <c r="P14" s="189"/>
      <c r="Q14" s="173"/>
      <c r="U14" s="474">
        <v>40306</v>
      </c>
      <c r="V14" s="474">
        <v>40306</v>
      </c>
      <c r="W14" s="475">
        <f>+(V14-U14)/30</f>
        <v>0</v>
      </c>
      <c r="X14" s="474">
        <v>39104</v>
      </c>
      <c r="Y14" s="474">
        <v>39108</v>
      </c>
      <c r="Z14" s="475">
        <f>+(Y14-X14)/30</f>
        <v>0.13333333333333333</v>
      </c>
    </row>
    <row r="15" spans="1:26" ht="15" thickBot="1" x14ac:dyDescent="0.35">
      <c r="U15" s="479">
        <v>40371</v>
      </c>
      <c r="V15" s="479">
        <v>40715</v>
      </c>
      <c r="W15" s="475">
        <f>+((V15-U15)+1)/30</f>
        <v>11.5</v>
      </c>
      <c r="X15" s="474"/>
      <c r="Y15" s="474"/>
      <c r="Z15" s="475">
        <f>+((Y15-X15)+1)/30</f>
        <v>3.3333333333333333E-2</v>
      </c>
    </row>
    <row r="16" spans="1:26" s="163" customFormat="1" ht="43.95" customHeight="1" thickBot="1" x14ac:dyDescent="0.35">
      <c r="A16" s="356" t="s">
        <v>236</v>
      </c>
      <c r="B16" s="357"/>
      <c r="C16" s="357"/>
      <c r="D16" s="357"/>
      <c r="E16" s="358"/>
      <c r="F16" s="450" t="s">
        <v>264</v>
      </c>
      <c r="G16" s="269"/>
      <c r="H16" s="540"/>
      <c r="I16" s="196"/>
      <c r="J16" s="196"/>
      <c r="K16" s="196"/>
      <c r="L16" s="196"/>
      <c r="M16" s="196"/>
      <c r="N16" s="196"/>
      <c r="O16" s="196"/>
      <c r="P16" s="173"/>
      <c r="U16" s="479">
        <v>40792</v>
      </c>
      <c r="V16" s="479">
        <v>40840</v>
      </c>
      <c r="W16" s="475">
        <f>+((V16-U16)+1)/30</f>
        <v>1.6333333333333333</v>
      </c>
      <c r="X16" s="474">
        <v>39222</v>
      </c>
      <c r="Y16" s="474">
        <v>39368</v>
      </c>
      <c r="Z16" s="475">
        <f>+((Y16-X16)+1)/30</f>
        <v>4.9000000000000004</v>
      </c>
    </row>
    <row r="17" spans="1:26" s="163" customFormat="1" ht="15" thickBot="1" x14ac:dyDescent="0.35">
      <c r="A17" s="356" t="s">
        <v>143</v>
      </c>
      <c r="B17" s="357"/>
      <c r="C17" s="358"/>
      <c r="D17" s="359" t="s">
        <v>126</v>
      </c>
      <c r="E17" s="359" t="s">
        <v>144</v>
      </c>
      <c r="F17" s="268"/>
      <c r="G17" s="269"/>
      <c r="H17" s="540"/>
      <c r="I17" s="196"/>
      <c r="J17" s="196"/>
      <c r="K17" s="196"/>
      <c r="L17" s="196"/>
      <c r="M17" s="196"/>
      <c r="N17" s="196"/>
      <c r="O17" s="196"/>
      <c r="P17" s="173"/>
      <c r="U17" s="465"/>
      <c r="V17" s="483" t="s">
        <v>253</v>
      </c>
      <c r="W17" s="481">
        <f ca="1">SUM(W14:W17)</f>
        <v>13.133333333333333</v>
      </c>
      <c r="Y17" s="483" t="s">
        <v>253</v>
      </c>
      <c r="Z17" s="481">
        <f>SUM(Z14:Z16)</f>
        <v>5.0666666666666673</v>
      </c>
    </row>
    <row r="18" spans="1:26" s="163" customFormat="1" x14ac:dyDescent="0.3">
      <c r="A18" s="332" t="s">
        <v>187</v>
      </c>
      <c r="B18" s="333"/>
      <c r="C18" s="334"/>
      <c r="D18" s="335" t="s">
        <v>90</v>
      </c>
      <c r="E18" s="335">
        <v>204</v>
      </c>
      <c r="F18" s="268"/>
      <c r="G18" s="269"/>
      <c r="H18" s="540"/>
      <c r="I18" s="196"/>
      <c r="J18" s="196"/>
      <c r="K18" s="196"/>
      <c r="L18" s="196"/>
      <c r="M18" s="196"/>
      <c r="N18" s="196"/>
      <c r="O18" s="196"/>
      <c r="P18" s="173"/>
    </row>
    <row r="19" spans="1:26" s="163" customFormat="1" x14ac:dyDescent="0.3">
      <c r="A19" s="326" t="s">
        <v>188</v>
      </c>
      <c r="B19" s="327"/>
      <c r="C19" s="328"/>
      <c r="D19" s="320" t="s">
        <v>90</v>
      </c>
      <c r="E19" s="320">
        <v>206</v>
      </c>
      <c r="F19" s="268"/>
      <c r="G19" s="269"/>
      <c r="H19" s="540"/>
      <c r="I19" s="196"/>
      <c r="J19" s="196"/>
      <c r="K19" s="196"/>
      <c r="L19" s="196"/>
      <c r="M19" s="196"/>
      <c r="N19" s="196"/>
      <c r="O19" s="196"/>
      <c r="P19" s="173"/>
      <c r="U19" s="465"/>
      <c r="V19" s="465"/>
      <c r="W19" s="465"/>
    </row>
    <row r="20" spans="1:26" s="163" customFormat="1" ht="15" thickBot="1" x14ac:dyDescent="0.35">
      <c r="A20" s="329" t="s">
        <v>142</v>
      </c>
      <c r="B20" s="330"/>
      <c r="C20" s="331"/>
      <c r="D20" s="321" t="s">
        <v>90</v>
      </c>
      <c r="E20" s="321">
        <v>207</v>
      </c>
      <c r="F20" s="268"/>
      <c r="G20" s="269"/>
      <c r="H20" s="540"/>
      <c r="I20" s="196"/>
      <c r="J20" s="196"/>
      <c r="K20" s="196"/>
      <c r="L20" s="196"/>
      <c r="M20" s="196"/>
      <c r="N20" s="196"/>
      <c r="O20" s="196"/>
      <c r="P20" s="173"/>
      <c r="U20" s="465"/>
      <c r="V20" s="465"/>
      <c r="W20" s="465"/>
    </row>
    <row r="21" spans="1:26" s="163" customFormat="1" x14ac:dyDescent="0.3">
      <c r="A21" s="322"/>
      <c r="B21" s="323"/>
      <c r="C21" s="324"/>
      <c r="D21" s="325"/>
      <c r="E21" s="325"/>
      <c r="F21" s="268"/>
      <c r="G21" s="269"/>
      <c r="H21" s="540"/>
      <c r="I21" s="196"/>
      <c r="J21" s="196"/>
      <c r="K21" s="196"/>
      <c r="L21" s="196"/>
      <c r="M21" s="196"/>
      <c r="N21" s="196"/>
      <c r="O21" s="196"/>
      <c r="P21" s="173"/>
      <c r="U21" s="465"/>
      <c r="V21" s="465"/>
      <c r="W21" s="465"/>
    </row>
    <row r="22" spans="1:26" s="163" customFormat="1" ht="46.8" x14ac:dyDescent="0.3">
      <c r="A22" s="182" t="s">
        <v>206</v>
      </c>
      <c r="B22" s="182" t="s">
        <v>35</v>
      </c>
      <c r="C22" s="182" t="s">
        <v>258</v>
      </c>
      <c r="D22" s="182" t="s">
        <v>207</v>
      </c>
      <c r="E22" s="182" t="s">
        <v>241</v>
      </c>
      <c r="F22" s="182" t="s">
        <v>242</v>
      </c>
      <c r="G22" s="182" t="s">
        <v>243</v>
      </c>
      <c r="H22" s="541" t="s">
        <v>244</v>
      </c>
      <c r="I22" s="271" t="s">
        <v>5</v>
      </c>
      <c r="J22" s="271" t="s">
        <v>145</v>
      </c>
      <c r="K22" s="271" t="s">
        <v>190</v>
      </c>
      <c r="L22" s="271" t="s">
        <v>147</v>
      </c>
      <c r="M22" s="271" t="s">
        <v>129</v>
      </c>
      <c r="N22" s="271" t="s">
        <v>245</v>
      </c>
      <c r="O22" s="271" t="s">
        <v>208</v>
      </c>
      <c r="P22" s="271" t="s">
        <v>249</v>
      </c>
      <c r="Q22" s="271" t="s">
        <v>148</v>
      </c>
      <c r="R22" s="271" t="s">
        <v>192</v>
      </c>
      <c r="S22" s="271"/>
      <c r="T22" s="173"/>
      <c r="X22" s="465"/>
    </row>
    <row r="23" spans="1:26" s="312" customFormat="1" ht="86.4" x14ac:dyDescent="0.3">
      <c r="A23" s="338">
        <v>1</v>
      </c>
      <c r="B23" s="338" t="s">
        <v>237</v>
      </c>
      <c r="C23" s="338">
        <v>209</v>
      </c>
      <c r="D23" s="341" t="s">
        <v>90</v>
      </c>
      <c r="E23" s="338" t="s">
        <v>98</v>
      </c>
      <c r="F23" s="338" t="s">
        <v>238</v>
      </c>
      <c r="G23" s="338" t="s">
        <v>239</v>
      </c>
      <c r="H23" s="542" t="s">
        <v>221</v>
      </c>
      <c r="I23" s="338" t="s">
        <v>240</v>
      </c>
      <c r="J23" s="339">
        <v>40942</v>
      </c>
      <c r="K23" s="339">
        <v>41820</v>
      </c>
      <c r="L23" s="477">
        <f>+(K23-J23)/30</f>
        <v>29.266666666666666</v>
      </c>
      <c r="M23" s="391">
        <v>12</v>
      </c>
      <c r="N23" s="478">
        <v>215</v>
      </c>
      <c r="O23" s="391" t="s">
        <v>246</v>
      </c>
      <c r="P23" s="338">
        <v>233</v>
      </c>
      <c r="Q23" s="338">
        <v>0</v>
      </c>
      <c r="R23" s="338" t="s">
        <v>247</v>
      </c>
      <c r="S23" s="338"/>
      <c r="T23" s="311"/>
      <c r="X23" s="470"/>
    </row>
    <row r="24" spans="1:26" s="312" customFormat="1" ht="72" x14ac:dyDescent="0.3">
      <c r="A24" s="338">
        <v>2</v>
      </c>
      <c r="B24" s="338" t="s">
        <v>179</v>
      </c>
      <c r="C24" s="338">
        <v>241</v>
      </c>
      <c r="D24" s="341" t="s">
        <v>90</v>
      </c>
      <c r="E24" s="338" t="s">
        <v>98</v>
      </c>
      <c r="F24" s="338" t="s">
        <v>238</v>
      </c>
      <c r="G24" s="338" t="s">
        <v>248</v>
      </c>
      <c r="H24" s="542" t="s">
        <v>221</v>
      </c>
      <c r="I24" s="338" t="s">
        <v>223</v>
      </c>
      <c r="J24" s="339">
        <v>40306</v>
      </c>
      <c r="K24" s="339">
        <v>40842</v>
      </c>
      <c r="L24" s="477">
        <f>+(K24-J24)/30</f>
        <v>17.866666666666667</v>
      </c>
      <c r="M24" s="338">
        <v>13</v>
      </c>
      <c r="N24" s="338">
        <v>247</v>
      </c>
      <c r="O24" s="338" t="s">
        <v>98</v>
      </c>
      <c r="P24" s="338">
        <v>256</v>
      </c>
      <c r="Q24" s="338">
        <v>13</v>
      </c>
      <c r="R24" s="338"/>
      <c r="S24" s="338"/>
      <c r="T24" s="311"/>
      <c r="X24" s="470"/>
    </row>
    <row r="25" spans="1:26" s="312" customFormat="1" ht="73.2" customHeight="1" x14ac:dyDescent="0.3">
      <c r="A25" s="338">
        <v>3</v>
      </c>
      <c r="B25" s="338" t="s">
        <v>229</v>
      </c>
      <c r="C25" s="338">
        <v>262</v>
      </c>
      <c r="D25" s="341" t="s">
        <v>90</v>
      </c>
      <c r="E25" s="338" t="s">
        <v>98</v>
      </c>
      <c r="F25" s="338" t="s">
        <v>238</v>
      </c>
      <c r="G25" s="338" t="s">
        <v>254</v>
      </c>
      <c r="H25" s="542" t="s">
        <v>230</v>
      </c>
      <c r="I25" s="338" t="s">
        <v>255</v>
      </c>
      <c r="J25" s="339">
        <v>39104</v>
      </c>
      <c r="K25" s="339">
        <v>39368</v>
      </c>
      <c r="L25" s="477">
        <f>+(K25-J25)/30</f>
        <v>8.8000000000000007</v>
      </c>
      <c r="M25" s="338">
        <v>7</v>
      </c>
      <c r="N25" s="484" t="s">
        <v>256</v>
      </c>
      <c r="O25" s="338" t="s">
        <v>98</v>
      </c>
      <c r="P25" s="338">
        <v>263</v>
      </c>
      <c r="Q25" s="338">
        <v>5.07</v>
      </c>
      <c r="R25" s="338" t="s">
        <v>257</v>
      </c>
      <c r="S25" s="338"/>
      <c r="T25" s="311"/>
      <c r="X25" s="470"/>
    </row>
    <row r="26" spans="1:26" s="312" customFormat="1" ht="86.4" x14ac:dyDescent="0.3">
      <c r="A26" s="338">
        <v>4</v>
      </c>
      <c r="B26" s="338" t="s">
        <v>229</v>
      </c>
      <c r="C26" s="338">
        <v>282</v>
      </c>
      <c r="D26" s="341" t="s">
        <v>90</v>
      </c>
      <c r="E26" s="338" t="s">
        <v>98</v>
      </c>
      <c r="F26" s="338" t="s">
        <v>238</v>
      </c>
      <c r="G26" s="338" t="s">
        <v>259</v>
      </c>
      <c r="H26" s="542" t="s">
        <v>260</v>
      </c>
      <c r="I26" s="338" t="s">
        <v>261</v>
      </c>
      <c r="J26" s="339">
        <v>42248</v>
      </c>
      <c r="K26" s="339">
        <v>42765</v>
      </c>
      <c r="L26" s="477">
        <f>+(K26-J26)/30</f>
        <v>17.233333333333334</v>
      </c>
      <c r="M26" s="341" t="s">
        <v>98</v>
      </c>
      <c r="N26" s="341" t="s">
        <v>98</v>
      </c>
      <c r="O26" s="338" t="s">
        <v>262</v>
      </c>
      <c r="P26" s="338" t="s">
        <v>98</v>
      </c>
      <c r="Q26" s="338">
        <v>17</v>
      </c>
      <c r="R26" s="338" t="s">
        <v>263</v>
      </c>
      <c r="S26" s="338"/>
      <c r="T26" s="311"/>
      <c r="X26" s="470"/>
    </row>
    <row r="27" spans="1:26" s="163" customFormat="1" x14ac:dyDescent="0.3">
      <c r="A27" s="272"/>
      <c r="B27" s="272"/>
      <c r="C27" s="272"/>
      <c r="D27" s="272"/>
      <c r="E27" s="272"/>
      <c r="F27" s="272"/>
      <c r="G27" s="272"/>
      <c r="H27" s="543"/>
      <c r="I27" s="272"/>
      <c r="J27" s="272"/>
      <c r="K27" s="272"/>
      <c r="L27" s="274"/>
      <c r="M27" s="272"/>
      <c r="N27" s="272"/>
      <c r="O27" s="272"/>
      <c r="P27" s="272"/>
      <c r="Q27" s="273"/>
      <c r="R27" s="272"/>
      <c r="S27" s="272"/>
      <c r="T27" s="173"/>
      <c r="X27" s="465"/>
    </row>
    <row r="28" spans="1:26" s="163" customFormat="1" ht="27.6" x14ac:dyDescent="0.3">
      <c r="A28" s="272"/>
      <c r="B28" s="272"/>
      <c r="C28" s="272"/>
      <c r="D28" s="272"/>
      <c r="E28" s="272"/>
      <c r="F28" s="272"/>
      <c r="G28" s="272"/>
      <c r="H28" s="543"/>
      <c r="I28" s="276"/>
      <c r="J28" s="276"/>
      <c r="K28" s="276"/>
      <c r="L28" s="275"/>
      <c r="M28" s="272"/>
      <c r="N28" s="272"/>
      <c r="O28" s="272"/>
      <c r="P28" s="276" t="s">
        <v>146</v>
      </c>
      <c r="Q28" s="274">
        <f>SUM(Q23:Q27)</f>
        <v>35.07</v>
      </c>
      <c r="R28" s="272"/>
      <c r="S28" s="272"/>
      <c r="T28" s="173"/>
      <c r="X28" s="465"/>
    </row>
    <row r="29" spans="1:26" s="163" customFormat="1" ht="15" thickBot="1" x14ac:dyDescent="0.35">
      <c r="A29" s="272"/>
      <c r="B29" s="272"/>
      <c r="C29" s="272"/>
      <c r="D29" s="272"/>
      <c r="E29" s="272"/>
      <c r="F29" s="272"/>
      <c r="G29" s="272"/>
      <c r="H29" s="543"/>
      <c r="I29" s="272"/>
      <c r="J29" s="272"/>
      <c r="K29" s="272"/>
      <c r="L29" s="272"/>
      <c r="M29" s="272"/>
      <c r="N29" s="272"/>
      <c r="O29" s="272"/>
      <c r="P29" s="272"/>
      <c r="Q29" s="272"/>
      <c r="R29" s="173"/>
      <c r="V29" s="465"/>
      <c r="W29" s="465"/>
      <c r="X29" s="465"/>
    </row>
    <row r="30" spans="1:26" s="163" customFormat="1" ht="15" thickBot="1" x14ac:dyDescent="0.35">
      <c r="A30" s="356" t="s">
        <v>265</v>
      </c>
      <c r="B30" s="357"/>
      <c r="C30" s="357"/>
      <c r="D30" s="357"/>
      <c r="E30" s="358"/>
      <c r="F30" s="268"/>
      <c r="G30" s="269"/>
      <c r="H30" s="540"/>
      <c r="I30" s="196"/>
      <c r="J30" s="196"/>
      <c r="K30" s="196"/>
      <c r="L30" s="196"/>
      <c r="M30" s="196"/>
      <c r="N30" s="196"/>
      <c r="O30" s="196"/>
      <c r="P30" s="173"/>
      <c r="U30" s="465"/>
      <c r="V30" s="465"/>
      <c r="W30" s="465"/>
    </row>
    <row r="31" spans="1:26" s="163" customFormat="1" ht="15" thickBot="1" x14ac:dyDescent="0.35">
      <c r="A31" s="356" t="s">
        <v>143</v>
      </c>
      <c r="B31" s="357"/>
      <c r="C31" s="358"/>
      <c r="D31" s="359" t="s">
        <v>126</v>
      </c>
      <c r="E31" s="359" t="s">
        <v>144</v>
      </c>
      <c r="F31" s="268"/>
      <c r="G31" s="269"/>
      <c r="H31" s="540"/>
      <c r="I31" s="196"/>
      <c r="J31" s="196"/>
      <c r="K31" s="196"/>
      <c r="L31" s="196"/>
      <c r="M31" s="196"/>
      <c r="N31" s="196"/>
      <c r="O31" s="196"/>
      <c r="P31" s="173"/>
      <c r="U31" s="465"/>
      <c r="V31" s="465"/>
      <c r="W31" s="465"/>
    </row>
    <row r="32" spans="1:26" s="163" customFormat="1" x14ac:dyDescent="0.3">
      <c r="A32" s="332" t="s">
        <v>187</v>
      </c>
      <c r="B32" s="333"/>
      <c r="C32" s="334"/>
      <c r="D32" s="335"/>
      <c r="E32" s="335"/>
      <c r="F32" s="268"/>
      <c r="G32" s="269"/>
      <c r="H32" s="540"/>
      <c r="I32" s="196"/>
      <c r="J32" s="196"/>
      <c r="K32" s="196"/>
      <c r="L32" s="196"/>
      <c r="M32" s="196"/>
      <c r="N32" s="196"/>
      <c r="O32" s="196"/>
      <c r="P32" s="173"/>
      <c r="U32" s="465"/>
      <c r="V32" s="465"/>
      <c r="W32" s="465"/>
    </row>
    <row r="33" spans="1:23" s="163" customFormat="1" x14ac:dyDescent="0.3">
      <c r="A33" s="326" t="s">
        <v>149</v>
      </c>
      <c r="B33" s="327"/>
      <c r="C33" s="328"/>
      <c r="D33" s="320"/>
      <c r="E33" s="320"/>
      <c r="F33" s="268"/>
      <c r="G33" s="269"/>
      <c r="H33" s="540"/>
      <c r="I33" s="196"/>
      <c r="J33" s="196"/>
      <c r="K33" s="196"/>
      <c r="L33" s="196"/>
      <c r="M33" s="196"/>
      <c r="N33" s="196"/>
      <c r="O33" s="196"/>
      <c r="P33" s="173"/>
      <c r="U33" s="465"/>
      <c r="V33" s="465"/>
      <c r="W33" s="465"/>
    </row>
    <row r="34" spans="1:23" s="163" customFormat="1" x14ac:dyDescent="0.3">
      <c r="A34" s="343" t="s">
        <v>150</v>
      </c>
      <c r="B34" s="344"/>
      <c r="C34" s="345"/>
      <c r="D34" s="346"/>
      <c r="E34" s="346"/>
      <c r="F34" s="268"/>
      <c r="G34" s="269"/>
      <c r="H34" s="540"/>
      <c r="I34" s="196"/>
      <c r="J34" s="196"/>
      <c r="K34" s="196"/>
      <c r="L34" s="196"/>
      <c r="M34" s="196"/>
      <c r="N34" s="196"/>
      <c r="O34" s="196"/>
      <c r="P34" s="173"/>
      <c r="U34" s="465"/>
      <c r="V34" s="465"/>
      <c r="W34" s="465"/>
    </row>
    <row r="35" spans="1:23" s="163" customFormat="1" x14ac:dyDescent="0.3">
      <c r="A35" s="343" t="s">
        <v>142</v>
      </c>
      <c r="B35" s="344"/>
      <c r="C35" s="345"/>
      <c r="D35" s="346"/>
      <c r="E35" s="346"/>
      <c r="F35" s="268"/>
      <c r="G35" s="269"/>
      <c r="H35" s="540"/>
      <c r="I35" s="196"/>
      <c r="J35" s="196"/>
      <c r="K35" s="196"/>
      <c r="L35" s="196"/>
      <c r="M35" s="196"/>
      <c r="N35" s="196"/>
      <c r="O35" s="196"/>
      <c r="P35" s="173"/>
      <c r="U35" s="465"/>
      <c r="V35" s="465"/>
      <c r="W35" s="465"/>
    </row>
    <row r="36" spans="1:23" s="163" customFormat="1" x14ac:dyDescent="0.3">
      <c r="A36" s="343"/>
      <c r="B36" s="344"/>
      <c r="C36" s="345"/>
      <c r="D36" s="346"/>
      <c r="E36" s="346"/>
      <c r="F36" s="268"/>
      <c r="G36" s="269"/>
      <c r="H36" s="540"/>
      <c r="I36" s="196"/>
      <c r="J36" s="196"/>
      <c r="K36" s="196"/>
      <c r="L36" s="196"/>
      <c r="M36" s="196"/>
      <c r="N36" s="196"/>
      <c r="O36" s="196"/>
      <c r="P36" s="173"/>
      <c r="U36" s="465"/>
      <c r="V36" s="465"/>
      <c r="W36" s="465"/>
    </row>
    <row r="37" spans="1:23" s="163" customFormat="1" ht="15" thickBot="1" x14ac:dyDescent="0.35">
      <c r="A37" s="329"/>
      <c r="B37" s="330"/>
      <c r="C37" s="331"/>
      <c r="D37" s="321"/>
      <c r="E37" s="321"/>
      <c r="F37" s="268"/>
      <c r="G37" s="269"/>
      <c r="H37" s="540"/>
      <c r="I37" s="196"/>
      <c r="J37" s="196"/>
      <c r="K37" s="196"/>
      <c r="L37" s="196"/>
      <c r="M37" s="196"/>
      <c r="N37" s="196"/>
      <c r="O37" s="196"/>
      <c r="P37" s="173"/>
      <c r="U37" s="465"/>
      <c r="V37" s="465"/>
      <c r="W37" s="465"/>
    </row>
    <row r="38" spans="1:23" ht="15" thickBot="1" x14ac:dyDescent="0.35"/>
    <row r="39" spans="1:23" ht="15" thickBot="1" x14ac:dyDescent="0.35">
      <c r="A39" s="356" t="s">
        <v>266</v>
      </c>
      <c r="B39" s="357"/>
      <c r="C39" s="357"/>
      <c r="D39" s="357"/>
      <c r="E39" s="358"/>
      <c r="F39" s="450"/>
    </row>
    <row r="40" spans="1:23" ht="15" thickBot="1" x14ac:dyDescent="0.35">
      <c r="A40" s="356" t="s">
        <v>143</v>
      </c>
      <c r="B40" s="357"/>
      <c r="C40" s="358"/>
      <c r="D40" s="359" t="s">
        <v>126</v>
      </c>
      <c r="E40" s="359" t="s">
        <v>144</v>
      </c>
    </row>
    <row r="41" spans="1:23" x14ac:dyDescent="0.3">
      <c r="A41" s="332" t="s">
        <v>187</v>
      </c>
      <c r="B41" s="333"/>
      <c r="C41" s="334"/>
      <c r="D41" s="335"/>
      <c r="E41" s="335"/>
    </row>
    <row r="42" spans="1:23" x14ac:dyDescent="0.3">
      <c r="A42" s="326" t="s">
        <v>149</v>
      </c>
      <c r="B42" s="327"/>
      <c r="C42" s="328"/>
      <c r="D42" s="320"/>
      <c r="E42" s="320"/>
    </row>
    <row r="43" spans="1:23" x14ac:dyDescent="0.3">
      <c r="A43" s="343" t="s">
        <v>151</v>
      </c>
      <c r="B43" s="344"/>
      <c r="C43" s="345"/>
      <c r="D43" s="346"/>
      <c r="E43" s="346"/>
    </row>
    <row r="44" spans="1:23" ht="15" thickBot="1" x14ac:dyDescent="0.35">
      <c r="A44" s="329"/>
      <c r="B44" s="330"/>
      <c r="C44" s="331"/>
      <c r="D44" s="321"/>
      <c r="E44" s="321"/>
    </row>
    <row r="46" spans="1:23" s="163" customFormat="1" ht="46.8" x14ac:dyDescent="0.3">
      <c r="A46" s="182" t="s">
        <v>206</v>
      </c>
      <c r="B46" s="182" t="s">
        <v>35</v>
      </c>
      <c r="C46" s="182" t="s">
        <v>189</v>
      </c>
      <c r="D46" s="182" t="s">
        <v>207</v>
      </c>
      <c r="E46" s="182" t="s">
        <v>152</v>
      </c>
      <c r="F46" s="182" t="s">
        <v>193</v>
      </c>
      <c r="G46" s="271" t="s">
        <v>97</v>
      </c>
      <c r="H46" s="541" t="s">
        <v>5</v>
      </c>
      <c r="I46" s="271" t="s">
        <v>145</v>
      </c>
      <c r="J46" s="271" t="s">
        <v>190</v>
      </c>
      <c r="K46" s="271" t="s">
        <v>209</v>
      </c>
      <c r="L46" s="271" t="s">
        <v>153</v>
      </c>
      <c r="M46" s="271" t="s">
        <v>191</v>
      </c>
      <c r="N46" s="271"/>
      <c r="O46" s="271"/>
      <c r="P46" s="271"/>
      <c r="Q46" s="271" t="s">
        <v>192</v>
      </c>
      <c r="U46" s="465"/>
      <c r="V46" s="465"/>
      <c r="W46" s="465"/>
    </row>
    <row r="47" spans="1:23" s="312" customFormat="1" x14ac:dyDescent="0.3">
      <c r="A47" s="338">
        <v>1</v>
      </c>
      <c r="B47" s="338"/>
      <c r="C47" s="338"/>
      <c r="D47" s="341"/>
      <c r="E47" s="338"/>
      <c r="F47" s="338"/>
      <c r="G47" s="338"/>
      <c r="H47" s="542"/>
      <c r="I47" s="339"/>
      <c r="J47" s="339"/>
      <c r="K47" s="338"/>
      <c r="L47" s="349"/>
      <c r="O47" s="338"/>
      <c r="P47" s="338"/>
      <c r="Q47" s="338"/>
      <c r="U47" s="470"/>
      <c r="V47" s="470"/>
      <c r="W47" s="470"/>
    </row>
    <row r="48" spans="1:23" s="312" customFormat="1" x14ac:dyDescent="0.3">
      <c r="A48" s="338">
        <v>2</v>
      </c>
      <c r="B48" s="338"/>
      <c r="C48" s="338"/>
      <c r="D48" s="341"/>
      <c r="E48" s="338"/>
      <c r="F48" s="338"/>
      <c r="G48" s="338"/>
      <c r="H48" s="542"/>
      <c r="I48" s="339"/>
      <c r="J48" s="339"/>
      <c r="K48" s="338"/>
      <c r="L48" s="349"/>
      <c r="M48" s="338"/>
      <c r="N48" s="338"/>
      <c r="O48" s="338"/>
      <c r="P48" s="338"/>
      <c r="Q48" s="338"/>
      <c r="U48" s="470"/>
      <c r="V48" s="470"/>
      <c r="W48" s="470"/>
    </row>
    <row r="49" spans="1:23" s="312" customFormat="1" x14ac:dyDescent="0.3">
      <c r="A49" s="338">
        <v>3</v>
      </c>
      <c r="B49" s="338"/>
      <c r="C49" s="338"/>
      <c r="D49" s="341"/>
      <c r="E49" s="338"/>
      <c r="F49" s="338"/>
      <c r="G49" s="338"/>
      <c r="H49" s="542"/>
      <c r="I49" s="339"/>
      <c r="J49" s="339"/>
      <c r="K49" s="338"/>
      <c r="L49" s="342"/>
      <c r="M49" s="338"/>
      <c r="N49" s="338"/>
      <c r="O49" s="338"/>
      <c r="P49" s="338"/>
      <c r="Q49" s="338"/>
      <c r="U49" s="470"/>
      <c r="V49" s="470"/>
      <c r="W49" s="470"/>
    </row>
    <row r="50" spans="1:23" s="312" customFormat="1" x14ac:dyDescent="0.3">
      <c r="A50" s="338">
        <v>4</v>
      </c>
      <c r="B50" s="338"/>
      <c r="C50" s="338"/>
      <c r="D50" s="341"/>
      <c r="E50" s="338"/>
      <c r="F50" s="338"/>
      <c r="G50" s="338"/>
      <c r="H50" s="542"/>
      <c r="I50" s="339"/>
      <c r="J50" s="339"/>
      <c r="K50" s="338"/>
      <c r="L50" s="342"/>
      <c r="M50" s="338"/>
      <c r="N50" s="338"/>
      <c r="O50" s="338"/>
      <c r="P50" s="338"/>
      <c r="Q50" s="338"/>
      <c r="U50" s="470"/>
      <c r="V50" s="470"/>
      <c r="W50" s="470"/>
    </row>
    <row r="51" spans="1:23" s="312" customFormat="1" x14ac:dyDescent="0.3">
      <c r="A51" s="338">
        <v>5</v>
      </c>
      <c r="B51" s="338"/>
      <c r="C51" s="338"/>
      <c r="D51" s="341"/>
      <c r="E51" s="338"/>
      <c r="F51" s="338"/>
      <c r="G51" s="338"/>
      <c r="H51" s="542"/>
      <c r="I51" s="339"/>
      <c r="J51" s="339"/>
      <c r="K51" s="338"/>
      <c r="L51" s="342"/>
      <c r="M51" s="338"/>
      <c r="N51" s="338"/>
      <c r="O51" s="338"/>
      <c r="P51" s="338"/>
      <c r="Q51" s="338"/>
      <c r="U51" s="470"/>
      <c r="V51" s="470"/>
      <c r="W51" s="470"/>
    </row>
    <row r="52" spans="1:23" s="312" customFormat="1" x14ac:dyDescent="0.3">
      <c r="A52" s="338">
        <v>6</v>
      </c>
      <c r="B52" s="338"/>
      <c r="C52" s="338"/>
      <c r="D52" s="341"/>
      <c r="E52" s="338"/>
      <c r="F52" s="338"/>
      <c r="G52" s="338"/>
      <c r="H52" s="542"/>
      <c r="I52" s="339"/>
      <c r="J52" s="339"/>
      <c r="K52" s="338"/>
      <c r="L52" s="342"/>
      <c r="M52" s="338"/>
      <c r="N52" s="338"/>
      <c r="O52" s="338"/>
      <c r="P52" s="338"/>
      <c r="Q52" s="347"/>
      <c r="U52" s="470"/>
      <c r="V52" s="470"/>
      <c r="W52" s="470"/>
    </row>
    <row r="53" spans="1:23" s="312" customFormat="1" x14ac:dyDescent="0.3">
      <c r="A53" s="338">
        <v>7</v>
      </c>
      <c r="B53" s="338"/>
      <c r="C53" s="338"/>
      <c r="D53" s="341"/>
      <c r="E53" s="338"/>
      <c r="F53" s="338"/>
      <c r="G53" s="338"/>
      <c r="H53" s="542"/>
      <c r="I53" s="339"/>
      <c r="J53" s="339"/>
      <c r="K53" s="338"/>
      <c r="L53" s="342"/>
      <c r="M53" s="338"/>
      <c r="N53" s="338"/>
      <c r="O53" s="338"/>
      <c r="P53" s="338"/>
      <c r="Q53" s="338"/>
      <c r="U53" s="470"/>
      <c r="V53" s="470"/>
      <c r="W53" s="470"/>
    </row>
    <row r="54" spans="1:23" s="312" customFormat="1" x14ac:dyDescent="0.3">
      <c r="A54" s="338">
        <v>8</v>
      </c>
      <c r="B54" s="338"/>
      <c r="C54" s="338"/>
      <c r="D54" s="341"/>
      <c r="E54" s="338"/>
      <c r="F54" s="338"/>
      <c r="G54" s="338"/>
      <c r="H54" s="542"/>
      <c r="I54" s="339"/>
      <c r="J54" s="339"/>
      <c r="K54" s="338"/>
      <c r="L54" s="342"/>
      <c r="M54" s="338"/>
      <c r="N54" s="338"/>
      <c r="O54" s="338"/>
      <c r="P54" s="338"/>
      <c r="Q54" s="338"/>
      <c r="U54" s="470"/>
      <c r="V54" s="470"/>
      <c r="W54" s="470"/>
    </row>
    <row r="55" spans="1:23" s="312" customFormat="1" x14ac:dyDescent="0.3">
      <c r="A55" s="338">
        <v>9</v>
      </c>
      <c r="B55" s="338"/>
      <c r="C55" s="338"/>
      <c r="D55" s="341"/>
      <c r="E55" s="338"/>
      <c r="F55" s="338"/>
      <c r="G55" s="338"/>
      <c r="H55" s="542"/>
      <c r="I55" s="339"/>
      <c r="J55" s="339"/>
      <c r="K55" s="338"/>
      <c r="L55" s="342"/>
      <c r="M55" s="338"/>
      <c r="N55" s="338"/>
      <c r="O55" s="338"/>
      <c r="P55" s="338"/>
      <c r="Q55" s="338"/>
      <c r="U55" s="470"/>
      <c r="V55" s="470"/>
      <c r="W55" s="470"/>
    </row>
    <row r="56" spans="1:23" s="312" customFormat="1" x14ac:dyDescent="0.3">
      <c r="A56" s="338">
        <v>10</v>
      </c>
      <c r="B56" s="338"/>
      <c r="C56" s="338"/>
      <c r="D56" s="341"/>
      <c r="E56" s="338"/>
      <c r="F56" s="338"/>
      <c r="G56" s="338"/>
      <c r="H56" s="542"/>
      <c r="I56" s="339"/>
      <c r="J56" s="339"/>
      <c r="K56" s="338"/>
      <c r="L56" s="342"/>
      <c r="M56" s="338"/>
      <c r="N56" s="338"/>
      <c r="O56" s="338"/>
      <c r="P56" s="338"/>
      <c r="Q56" s="338"/>
      <c r="U56" s="470"/>
      <c r="V56" s="470"/>
      <c r="W56" s="470"/>
    </row>
    <row r="57" spans="1:23" s="312" customFormat="1" x14ac:dyDescent="0.3">
      <c r="A57" s="338">
        <v>11</v>
      </c>
      <c r="B57" s="338"/>
      <c r="C57" s="338"/>
      <c r="D57" s="341"/>
      <c r="E57" s="338"/>
      <c r="F57" s="338"/>
      <c r="G57" s="338"/>
      <c r="H57" s="542"/>
      <c r="I57" s="339"/>
      <c r="J57" s="339"/>
      <c r="K57" s="338"/>
      <c r="L57" s="342"/>
      <c r="M57" s="338"/>
      <c r="N57" s="338"/>
      <c r="O57" s="338"/>
      <c r="P57" s="338"/>
      <c r="Q57" s="338"/>
      <c r="U57" s="470"/>
      <c r="V57" s="470"/>
      <c r="W57" s="470"/>
    </row>
    <row r="58" spans="1:23" s="312" customFormat="1" x14ac:dyDescent="0.3">
      <c r="A58" s="338">
        <v>12</v>
      </c>
      <c r="B58" s="338"/>
      <c r="C58" s="338"/>
      <c r="D58" s="341"/>
      <c r="E58" s="338"/>
      <c r="F58" s="338"/>
      <c r="G58" s="338"/>
      <c r="H58" s="542"/>
      <c r="I58" s="339"/>
      <c r="J58" s="339"/>
      <c r="K58" s="338"/>
      <c r="L58" s="342"/>
      <c r="M58" s="338"/>
      <c r="N58" s="338"/>
      <c r="O58" s="338"/>
      <c r="P58" s="338"/>
      <c r="Q58" s="338"/>
      <c r="U58" s="470"/>
      <c r="V58" s="470"/>
      <c r="W58" s="470"/>
    </row>
    <row r="59" spans="1:23" s="312" customFormat="1" x14ac:dyDescent="0.3">
      <c r="A59" s="338">
        <v>13</v>
      </c>
      <c r="B59" s="338"/>
      <c r="C59" s="338"/>
      <c r="D59" s="341"/>
      <c r="E59" s="338"/>
      <c r="F59" s="338"/>
      <c r="G59" s="338"/>
      <c r="H59" s="542"/>
      <c r="I59" s="339"/>
      <c r="J59" s="339"/>
      <c r="K59" s="338"/>
      <c r="L59" s="342"/>
      <c r="M59" s="338"/>
      <c r="N59" s="338"/>
      <c r="O59" s="338"/>
      <c r="P59" s="338"/>
      <c r="Q59" s="338"/>
      <c r="U59" s="470"/>
      <c r="V59" s="470"/>
      <c r="W59" s="470"/>
    </row>
    <row r="60" spans="1:23" s="312" customFormat="1" x14ac:dyDescent="0.3">
      <c r="A60" s="338">
        <v>14</v>
      </c>
      <c r="B60" s="338"/>
      <c r="C60" s="338"/>
      <c r="D60" s="341"/>
      <c r="E60" s="338"/>
      <c r="F60" s="338"/>
      <c r="G60" s="338"/>
      <c r="H60" s="542"/>
      <c r="I60" s="339"/>
      <c r="J60" s="339"/>
      <c r="K60" s="338"/>
      <c r="L60" s="342"/>
      <c r="M60" s="338"/>
      <c r="N60" s="338"/>
      <c r="O60" s="338"/>
      <c r="P60" s="338"/>
      <c r="Q60" s="347"/>
      <c r="U60" s="470"/>
      <c r="V60" s="470"/>
      <c r="W60" s="470"/>
    </row>
    <row r="61" spans="1:23" s="312" customFormat="1" x14ac:dyDescent="0.3">
      <c r="A61" s="338"/>
      <c r="B61" s="338"/>
      <c r="C61" s="338"/>
      <c r="D61" s="341"/>
      <c r="E61" s="338"/>
      <c r="F61" s="338"/>
      <c r="G61" s="338"/>
      <c r="H61" s="542"/>
      <c r="I61" s="339"/>
      <c r="J61" s="339"/>
      <c r="K61" s="338"/>
      <c r="L61" s="342"/>
      <c r="M61" s="338"/>
      <c r="N61" s="338"/>
      <c r="O61" s="338"/>
      <c r="P61" s="338"/>
      <c r="Q61" s="347"/>
      <c r="U61" s="470"/>
      <c r="V61" s="470"/>
      <c r="W61" s="470"/>
    </row>
    <row r="62" spans="1:23" s="312" customFormat="1" x14ac:dyDescent="0.3">
      <c r="A62" s="338"/>
      <c r="B62" s="338"/>
      <c r="C62" s="338"/>
      <c r="D62" s="338"/>
      <c r="E62" s="338"/>
      <c r="F62" s="338"/>
      <c r="G62" s="338"/>
      <c r="H62" s="544"/>
      <c r="I62" s="348"/>
      <c r="J62" s="348" t="s">
        <v>210</v>
      </c>
      <c r="K62" s="338">
        <f>SUM(K47:K55)</f>
        <v>0</v>
      </c>
      <c r="L62" s="338"/>
      <c r="M62" s="338"/>
      <c r="N62" s="338"/>
      <c r="O62" s="338"/>
      <c r="P62" s="338"/>
      <c r="U62" s="470"/>
      <c r="V62" s="470"/>
      <c r="W62" s="470"/>
    </row>
    <row r="63" spans="1:23" ht="15" thickBot="1" x14ac:dyDescent="0.35"/>
    <row r="64" spans="1:23" ht="15" thickBot="1" x14ac:dyDescent="0.35">
      <c r="A64" s="356" t="s">
        <v>303</v>
      </c>
      <c r="B64" s="357"/>
      <c r="C64" s="357"/>
      <c r="D64" s="357"/>
      <c r="E64" s="358"/>
      <c r="F64" s="450"/>
    </row>
    <row r="65" spans="1:23" ht="15" thickBot="1" x14ac:dyDescent="0.35">
      <c r="A65" s="356" t="s">
        <v>143</v>
      </c>
      <c r="B65" s="357"/>
      <c r="C65" s="358"/>
      <c r="D65" s="359" t="s">
        <v>126</v>
      </c>
      <c r="E65" s="359" t="s">
        <v>144</v>
      </c>
    </row>
    <row r="66" spans="1:23" x14ac:dyDescent="0.3">
      <c r="A66" s="332" t="s">
        <v>187</v>
      </c>
      <c r="B66" s="333"/>
      <c r="C66" s="334"/>
      <c r="D66" s="335"/>
      <c r="E66" s="335"/>
    </row>
    <row r="67" spans="1:23" x14ac:dyDescent="0.3">
      <c r="A67" s="326" t="s">
        <v>149</v>
      </c>
      <c r="B67" s="327"/>
      <c r="C67" s="328"/>
      <c r="D67" s="320"/>
      <c r="E67" s="320"/>
    </row>
    <row r="68" spans="1:23" x14ac:dyDescent="0.3">
      <c r="A68" s="343" t="s">
        <v>151</v>
      </c>
      <c r="B68" s="344"/>
      <c r="C68" s="345"/>
      <c r="D68" s="346"/>
      <c r="E68" s="346"/>
    </row>
    <row r="69" spans="1:23" ht="15" thickBot="1" x14ac:dyDescent="0.35">
      <c r="A69" s="329" t="s">
        <v>142</v>
      </c>
      <c r="B69" s="330"/>
      <c r="C69" s="331"/>
      <c r="D69" s="321"/>
      <c r="E69" s="321"/>
    </row>
    <row r="71" spans="1:23" s="163" customFormat="1" ht="46.8" x14ac:dyDescent="0.3">
      <c r="A71" s="182" t="s">
        <v>206</v>
      </c>
      <c r="B71" s="182" t="s">
        <v>35</v>
      </c>
      <c r="C71" s="182" t="s">
        <v>189</v>
      </c>
      <c r="D71" s="182" t="s">
        <v>207</v>
      </c>
      <c r="E71" s="182" t="s">
        <v>194</v>
      </c>
      <c r="F71" s="182" t="s">
        <v>154</v>
      </c>
      <c r="G71" s="271" t="s">
        <v>97</v>
      </c>
      <c r="H71" s="541" t="s">
        <v>5</v>
      </c>
      <c r="I71" s="271" t="s">
        <v>145</v>
      </c>
      <c r="J71" s="271" t="s">
        <v>190</v>
      </c>
      <c r="K71" s="271" t="s">
        <v>211</v>
      </c>
      <c r="L71" s="271" t="s">
        <v>153</v>
      </c>
      <c r="M71" s="271" t="s">
        <v>191</v>
      </c>
      <c r="N71" s="271"/>
      <c r="O71" s="271"/>
      <c r="P71" s="271"/>
      <c r="Q71" s="271" t="s">
        <v>192</v>
      </c>
      <c r="U71" s="465"/>
      <c r="V71" s="465"/>
      <c r="W71" s="465"/>
    </row>
    <row r="72" spans="1:23" s="312" customFormat="1" x14ac:dyDescent="0.3">
      <c r="A72" s="338"/>
      <c r="B72" s="338"/>
      <c r="C72" s="338"/>
      <c r="D72" s="349"/>
      <c r="E72" s="338"/>
      <c r="F72" s="338"/>
      <c r="G72" s="338"/>
      <c r="H72" s="542"/>
      <c r="I72" s="339"/>
      <c r="J72" s="339"/>
      <c r="K72" s="338"/>
      <c r="L72" s="349"/>
      <c r="O72" s="338"/>
      <c r="P72" s="338"/>
      <c r="Q72" s="338"/>
      <c r="U72" s="470"/>
      <c r="V72" s="470"/>
      <c r="W72" s="470"/>
    </row>
    <row r="73" spans="1:23" s="312" customFormat="1" x14ac:dyDescent="0.3">
      <c r="A73" s="338"/>
      <c r="B73" s="338"/>
      <c r="C73" s="338"/>
      <c r="D73" s="349"/>
      <c r="E73" s="338"/>
      <c r="F73" s="338"/>
      <c r="G73" s="338"/>
      <c r="H73" s="542"/>
      <c r="I73" s="339"/>
      <c r="J73" s="339"/>
      <c r="K73" s="338"/>
      <c r="L73" s="349"/>
      <c r="M73" s="338"/>
      <c r="N73" s="338"/>
      <c r="O73" s="338"/>
      <c r="P73" s="338"/>
      <c r="Q73" s="338"/>
      <c r="U73" s="470"/>
      <c r="V73" s="470"/>
      <c r="W73" s="470"/>
    </row>
    <row r="74" spans="1:23" s="312" customFormat="1" x14ac:dyDescent="0.3">
      <c r="A74" s="338"/>
      <c r="B74" s="338"/>
      <c r="C74" s="338"/>
      <c r="D74" s="349"/>
      <c r="E74" s="338"/>
      <c r="F74" s="338"/>
      <c r="G74" s="338"/>
      <c r="H74" s="542"/>
      <c r="I74" s="339"/>
      <c r="J74" s="339"/>
      <c r="K74" s="338"/>
      <c r="L74" s="349"/>
      <c r="M74" s="338"/>
      <c r="N74" s="338"/>
      <c r="O74" s="338"/>
      <c r="P74" s="338"/>
      <c r="Q74" s="347"/>
      <c r="U74" s="470"/>
      <c r="V74" s="470"/>
      <c r="W74" s="470"/>
    </row>
    <row r="75" spans="1:23" s="312" customFormat="1" x14ac:dyDescent="0.3">
      <c r="A75" s="338"/>
      <c r="B75" s="338"/>
      <c r="C75" s="338"/>
      <c r="D75" s="338"/>
      <c r="E75" s="338"/>
      <c r="F75" s="338"/>
      <c r="G75" s="338"/>
      <c r="H75" s="544"/>
      <c r="I75" s="348"/>
      <c r="J75" s="348" t="s">
        <v>210</v>
      </c>
      <c r="K75" s="338">
        <f>SUM(K72:K74)</f>
        <v>0</v>
      </c>
      <c r="L75" s="338"/>
      <c r="M75" s="338"/>
      <c r="N75" s="338"/>
      <c r="O75" s="338"/>
      <c r="P75" s="338"/>
      <c r="U75" s="470"/>
      <c r="V75" s="470"/>
      <c r="W75" s="470"/>
    </row>
    <row r="76" spans="1:23" ht="15" thickBot="1" x14ac:dyDescent="0.35"/>
    <row r="77" spans="1:23" ht="15" thickBot="1" x14ac:dyDescent="0.35">
      <c r="A77" s="356" t="s">
        <v>216</v>
      </c>
      <c r="B77" s="357"/>
      <c r="C77" s="357"/>
      <c r="D77" s="357"/>
      <c r="E77" s="358"/>
      <c r="F77" s="450"/>
    </row>
    <row r="78" spans="1:23" ht="15" thickBot="1" x14ac:dyDescent="0.35">
      <c r="A78" s="356" t="s">
        <v>143</v>
      </c>
      <c r="B78" s="357"/>
      <c r="C78" s="358"/>
      <c r="D78" s="359" t="s">
        <v>126</v>
      </c>
      <c r="E78" s="359" t="s">
        <v>144</v>
      </c>
    </row>
    <row r="79" spans="1:23" x14ac:dyDescent="0.3">
      <c r="A79" s="332" t="s">
        <v>187</v>
      </c>
      <c r="B79" s="333"/>
      <c r="C79" s="334"/>
      <c r="D79" s="335"/>
      <c r="E79" s="335"/>
    </row>
    <row r="80" spans="1:23" x14ac:dyDescent="0.3">
      <c r="A80" s="326" t="s">
        <v>149</v>
      </c>
      <c r="B80" s="327"/>
      <c r="C80" s="328"/>
      <c r="D80" s="320"/>
      <c r="E80" s="320"/>
    </row>
    <row r="81" spans="1:23" x14ac:dyDescent="0.3">
      <c r="A81" s="343" t="s">
        <v>151</v>
      </c>
      <c r="B81" s="344"/>
      <c r="C81" s="345"/>
      <c r="D81" s="346"/>
      <c r="E81" s="346"/>
    </row>
    <row r="82" spans="1:23" x14ac:dyDescent="0.3">
      <c r="A82" s="343" t="s">
        <v>142</v>
      </c>
      <c r="B82" s="344"/>
      <c r="C82" s="345"/>
      <c r="D82" s="346"/>
      <c r="E82" s="346"/>
    </row>
    <row r="83" spans="1:23" ht="15" thickBot="1" x14ac:dyDescent="0.35">
      <c r="A83" s="329" t="s">
        <v>125</v>
      </c>
      <c r="B83" s="330"/>
      <c r="C83" s="331"/>
      <c r="D83" s="321"/>
      <c r="E83" s="321"/>
    </row>
    <row r="85" spans="1:23" s="163" customFormat="1" ht="46.8" x14ac:dyDescent="0.3">
      <c r="A85" s="182" t="s">
        <v>206</v>
      </c>
      <c r="B85" s="182" t="s">
        <v>35</v>
      </c>
      <c r="C85" s="182" t="s">
        <v>189</v>
      </c>
      <c r="D85" s="182" t="s">
        <v>207</v>
      </c>
      <c r="E85" s="182" t="s">
        <v>96</v>
      </c>
      <c r="F85" s="182" t="s">
        <v>16</v>
      </c>
      <c r="G85" s="271" t="s">
        <v>97</v>
      </c>
      <c r="H85" s="541" t="s">
        <v>5</v>
      </c>
      <c r="I85" s="271" t="s">
        <v>145</v>
      </c>
      <c r="J85" s="271" t="s">
        <v>190</v>
      </c>
      <c r="K85" s="271" t="s">
        <v>211</v>
      </c>
      <c r="L85" s="271" t="s">
        <v>153</v>
      </c>
      <c r="M85" s="271" t="s">
        <v>191</v>
      </c>
      <c r="N85" s="271" t="s">
        <v>212</v>
      </c>
      <c r="O85" s="271"/>
      <c r="P85" s="271"/>
      <c r="Q85" s="271" t="s">
        <v>192</v>
      </c>
      <c r="U85" s="465"/>
      <c r="V85" s="465"/>
      <c r="W85" s="465"/>
    </row>
    <row r="86" spans="1:23" s="312" customFormat="1" x14ac:dyDescent="0.3">
      <c r="A86" s="338"/>
      <c r="B86" s="338"/>
      <c r="C86" s="338"/>
      <c r="D86" s="341"/>
      <c r="E86" s="338"/>
      <c r="F86" s="338"/>
      <c r="G86" s="338"/>
      <c r="H86" s="542"/>
      <c r="I86" s="339"/>
      <c r="J86" s="339"/>
      <c r="K86" s="338"/>
      <c r="L86" s="342"/>
      <c r="O86" s="338"/>
      <c r="P86" s="338"/>
      <c r="Q86" s="338"/>
      <c r="U86" s="470"/>
      <c r="V86" s="470"/>
      <c r="W86" s="470"/>
    </row>
    <row r="87" spans="1:23" s="312" customFormat="1" x14ac:dyDescent="0.3">
      <c r="A87" s="338"/>
      <c r="B87" s="338"/>
      <c r="C87" s="338"/>
      <c r="D87" s="341"/>
      <c r="E87" s="338"/>
      <c r="F87" s="338"/>
      <c r="G87" s="338"/>
      <c r="H87" s="542"/>
      <c r="I87" s="339"/>
      <c r="J87" s="339"/>
      <c r="K87" s="338"/>
      <c r="L87" s="342"/>
      <c r="M87" s="338"/>
      <c r="N87" s="338"/>
      <c r="O87" s="338"/>
      <c r="P87" s="338"/>
      <c r="Q87" s="338"/>
      <c r="U87" s="470"/>
      <c r="V87" s="470"/>
      <c r="W87" s="470"/>
    </row>
    <row r="88" spans="1:23" s="312" customFormat="1" x14ac:dyDescent="0.3">
      <c r="A88" s="338">
        <v>3</v>
      </c>
      <c r="B88" s="338"/>
      <c r="C88" s="338"/>
      <c r="D88" s="341"/>
      <c r="E88" s="338"/>
      <c r="F88" s="338"/>
      <c r="G88" s="338"/>
      <c r="H88" s="542"/>
      <c r="I88" s="339"/>
      <c r="J88" s="339"/>
      <c r="K88" s="338"/>
      <c r="L88" s="342"/>
      <c r="M88" s="338"/>
      <c r="N88" s="338"/>
      <c r="O88" s="338"/>
      <c r="P88" s="338"/>
      <c r="Q88" s="338"/>
      <c r="U88" s="470"/>
      <c r="V88" s="470"/>
      <c r="W88" s="470"/>
    </row>
    <row r="89" spans="1:23" s="312" customFormat="1" x14ac:dyDescent="0.3">
      <c r="A89" s="338">
        <v>4</v>
      </c>
      <c r="B89" s="338"/>
      <c r="C89" s="338"/>
      <c r="D89" s="341"/>
      <c r="E89" s="338"/>
      <c r="F89" s="338"/>
      <c r="G89" s="338"/>
      <c r="H89" s="542"/>
      <c r="I89" s="339"/>
      <c r="J89" s="339"/>
      <c r="K89" s="338"/>
      <c r="L89" s="342"/>
      <c r="M89" s="338"/>
      <c r="N89" s="338"/>
      <c r="O89" s="338"/>
      <c r="P89" s="338"/>
      <c r="Q89" s="347"/>
      <c r="U89" s="470"/>
      <c r="V89" s="470"/>
      <c r="W89" s="470"/>
    </row>
    <row r="90" spans="1:23" s="312" customFormat="1" x14ac:dyDescent="0.3">
      <c r="A90" s="338">
        <v>5</v>
      </c>
      <c r="B90" s="338"/>
      <c r="C90" s="338"/>
      <c r="D90" s="341"/>
      <c r="E90" s="338"/>
      <c r="F90" s="338"/>
      <c r="G90" s="338"/>
      <c r="H90" s="542"/>
      <c r="I90" s="339"/>
      <c r="J90" s="339"/>
      <c r="K90" s="338"/>
      <c r="L90" s="342"/>
      <c r="M90" s="338"/>
      <c r="N90" s="338"/>
      <c r="O90" s="338"/>
      <c r="P90" s="338"/>
      <c r="Q90" s="347"/>
      <c r="U90" s="470"/>
      <c r="V90" s="470"/>
      <c r="W90" s="470"/>
    </row>
    <row r="91" spans="1:23" s="312" customFormat="1" x14ac:dyDescent="0.3">
      <c r="A91" s="338"/>
      <c r="B91" s="338"/>
      <c r="C91" s="338"/>
      <c r="D91" s="338"/>
      <c r="E91" s="338"/>
      <c r="F91" s="338"/>
      <c r="G91" s="338"/>
      <c r="H91" s="544"/>
      <c r="I91" s="348"/>
      <c r="J91" s="348" t="s">
        <v>210</v>
      </c>
      <c r="K91" s="338">
        <f>SUM(K86:K90)</f>
        <v>0</v>
      </c>
      <c r="L91" s="338"/>
      <c r="M91" s="338"/>
      <c r="N91" s="338"/>
      <c r="O91" s="338"/>
      <c r="P91" s="338"/>
      <c r="U91" s="470"/>
      <c r="V91" s="470"/>
      <c r="W91" s="470"/>
    </row>
    <row r="92" spans="1:23" ht="15" thickBot="1" x14ac:dyDescent="0.35"/>
    <row r="93" spans="1:23" ht="15" thickBot="1" x14ac:dyDescent="0.35">
      <c r="A93" s="356" t="s">
        <v>304</v>
      </c>
      <c r="B93" s="357"/>
      <c r="C93" s="357"/>
      <c r="D93" s="357"/>
      <c r="E93" s="358"/>
      <c r="F93" s="450"/>
    </row>
    <row r="94" spans="1:23" ht="15" thickBot="1" x14ac:dyDescent="0.35">
      <c r="A94" s="356" t="s">
        <v>143</v>
      </c>
      <c r="B94" s="357"/>
      <c r="C94" s="358"/>
      <c r="D94" s="359" t="s">
        <v>126</v>
      </c>
      <c r="E94" s="359" t="s">
        <v>144</v>
      </c>
    </row>
    <row r="95" spans="1:23" x14ac:dyDescent="0.3">
      <c r="A95" s="332" t="s">
        <v>187</v>
      </c>
      <c r="B95" s="333"/>
      <c r="C95" s="334"/>
      <c r="D95" s="335"/>
      <c r="E95" s="335"/>
    </row>
    <row r="96" spans="1:23" x14ac:dyDescent="0.3">
      <c r="A96" s="326" t="s">
        <v>155</v>
      </c>
      <c r="B96" s="327"/>
      <c r="C96" s="328"/>
      <c r="D96" s="320"/>
      <c r="E96" s="320"/>
    </row>
    <row r="97" spans="1:7" x14ac:dyDescent="0.3">
      <c r="A97" s="343" t="s">
        <v>125</v>
      </c>
      <c r="B97" s="344"/>
      <c r="C97" s="345"/>
      <c r="D97" s="346"/>
      <c r="E97" s="346"/>
    </row>
    <row r="98" spans="1:7" x14ac:dyDescent="0.3">
      <c r="A98" s="343" t="s">
        <v>195</v>
      </c>
      <c r="B98" s="344"/>
      <c r="C98" s="345"/>
      <c r="D98" s="346"/>
      <c r="E98" s="346"/>
    </row>
    <row r="99" spans="1:7" ht="15" thickBot="1" x14ac:dyDescent="0.35">
      <c r="A99" s="329"/>
      <c r="B99" s="330"/>
      <c r="C99" s="331"/>
      <c r="D99" s="321"/>
      <c r="E99" s="321"/>
    </row>
    <row r="100" spans="1:7" ht="15" thickBot="1" x14ac:dyDescent="0.35"/>
    <row r="101" spans="1:7" ht="15" thickBot="1" x14ac:dyDescent="0.35">
      <c r="A101" s="356" t="s">
        <v>305</v>
      </c>
      <c r="B101" s="357"/>
      <c r="C101" s="357"/>
      <c r="D101" s="357"/>
      <c r="E101" s="358"/>
    </row>
    <row r="102" spans="1:7" ht="15" thickBot="1" x14ac:dyDescent="0.35">
      <c r="A102" s="356" t="s">
        <v>143</v>
      </c>
      <c r="B102" s="357"/>
      <c r="C102" s="358"/>
      <c r="D102" s="359" t="s">
        <v>126</v>
      </c>
      <c r="E102" s="359" t="s">
        <v>144</v>
      </c>
    </row>
    <row r="103" spans="1:7" x14ac:dyDescent="0.3">
      <c r="A103" s="332" t="s">
        <v>187</v>
      </c>
      <c r="B103" s="333"/>
      <c r="C103" s="334"/>
      <c r="D103" s="335"/>
      <c r="E103" s="335"/>
    </row>
    <row r="104" spans="1:7" x14ac:dyDescent="0.3">
      <c r="A104" s="326" t="s">
        <v>149</v>
      </c>
      <c r="B104" s="327"/>
      <c r="C104" s="328"/>
      <c r="D104" s="320"/>
      <c r="E104" s="320"/>
    </row>
    <row r="105" spans="1:7" x14ac:dyDescent="0.3">
      <c r="A105" s="343" t="s">
        <v>156</v>
      </c>
      <c r="B105" s="344"/>
      <c r="C105" s="345"/>
      <c r="D105" s="346"/>
      <c r="E105" s="346"/>
    </row>
    <row r="106" spans="1:7" x14ac:dyDescent="0.3">
      <c r="A106" s="343" t="s">
        <v>142</v>
      </c>
      <c r="B106" s="344"/>
      <c r="C106" s="345"/>
      <c r="D106" s="346"/>
      <c r="E106" s="346"/>
    </row>
    <row r="107" spans="1:7" ht="15" thickBot="1" x14ac:dyDescent="0.35">
      <c r="A107" s="329" t="s">
        <v>125</v>
      </c>
      <c r="B107" s="330"/>
      <c r="C107" s="331"/>
      <c r="D107" s="321"/>
      <c r="E107" s="321"/>
    </row>
    <row r="108" spans="1:7" ht="15" thickBot="1" x14ac:dyDescent="0.35"/>
    <row r="109" spans="1:7" ht="15" thickBot="1" x14ac:dyDescent="0.35">
      <c r="A109" s="356" t="s">
        <v>157</v>
      </c>
      <c r="B109" s="357"/>
      <c r="C109" s="357"/>
      <c r="D109" s="357"/>
      <c r="E109" s="358"/>
    </row>
    <row r="110" spans="1:7" ht="15" thickBot="1" x14ac:dyDescent="0.35">
      <c r="A110" s="356" t="s">
        <v>143</v>
      </c>
      <c r="B110" s="357"/>
      <c r="C110" s="358"/>
      <c r="D110" s="359" t="s">
        <v>126</v>
      </c>
      <c r="E110" s="359" t="s">
        <v>144</v>
      </c>
      <c r="F110" s="359" t="s">
        <v>36</v>
      </c>
      <c r="G110" s="450"/>
    </row>
    <row r="111" spans="1:7" x14ac:dyDescent="0.3">
      <c r="A111" s="332" t="s">
        <v>158</v>
      </c>
      <c r="B111" s="333"/>
      <c r="C111" s="334"/>
      <c r="D111" s="335"/>
      <c r="E111" s="335"/>
      <c r="F111" s="366"/>
    </row>
    <row r="112" spans="1:7" x14ac:dyDescent="0.3">
      <c r="A112" s="332" t="s">
        <v>159</v>
      </c>
      <c r="B112" s="327"/>
      <c r="C112" s="328"/>
      <c r="D112" s="320"/>
      <c r="E112" s="320"/>
      <c r="F112" s="367"/>
    </row>
    <row r="113" spans="1:7" x14ac:dyDescent="0.3">
      <c r="A113" s="343" t="s">
        <v>196</v>
      </c>
      <c r="B113" s="344"/>
      <c r="C113" s="345"/>
      <c r="D113" s="346"/>
      <c r="E113" s="346"/>
      <c r="F113" s="368"/>
    </row>
    <row r="114" spans="1:7" x14ac:dyDescent="0.3">
      <c r="A114" s="343"/>
      <c r="B114" s="344"/>
      <c r="C114" s="345"/>
      <c r="D114" s="346"/>
      <c r="E114" s="346"/>
      <c r="F114" s="368"/>
    </row>
    <row r="115" spans="1:7" ht="15" thickBot="1" x14ac:dyDescent="0.35">
      <c r="A115" s="343"/>
      <c r="B115" s="344"/>
      <c r="C115" s="345"/>
      <c r="D115" s="346"/>
      <c r="E115" s="346"/>
      <c r="F115" s="368"/>
    </row>
    <row r="116" spans="1:7" ht="15" thickBot="1" x14ac:dyDescent="0.35">
      <c r="A116" s="336" t="s">
        <v>197</v>
      </c>
      <c r="B116" s="197"/>
      <c r="C116" s="197"/>
      <c r="D116" s="364"/>
      <c r="E116" s="365"/>
      <c r="F116" s="369"/>
    </row>
    <row r="117" spans="1:7" ht="15" thickBot="1" x14ac:dyDescent="0.35">
      <c r="A117" s="336" t="s">
        <v>198</v>
      </c>
      <c r="B117" s="197"/>
      <c r="C117" s="197"/>
      <c r="D117" s="364"/>
      <c r="E117" s="365"/>
      <c r="F117" s="369"/>
    </row>
    <row r="118" spans="1:7" x14ac:dyDescent="0.3">
      <c r="A118" s="361" t="s">
        <v>199</v>
      </c>
      <c r="B118" s="196"/>
      <c r="C118" s="362"/>
      <c r="D118" s="363"/>
      <c r="E118" s="363"/>
      <c r="F118" s="370"/>
    </row>
    <row r="119" spans="1:7" ht="15" thickBot="1" x14ac:dyDescent="0.35">
      <c r="A119" s="329"/>
      <c r="B119" s="330"/>
      <c r="C119" s="331"/>
      <c r="D119" s="321"/>
      <c r="E119" s="321"/>
      <c r="F119" s="321"/>
    </row>
    <row r="120" spans="1:7" ht="15" thickBot="1" x14ac:dyDescent="0.35"/>
    <row r="121" spans="1:7" ht="15" thickBot="1" x14ac:dyDescent="0.35">
      <c r="A121" s="356" t="s">
        <v>160</v>
      </c>
      <c r="B121" s="357"/>
      <c r="C121" s="357"/>
      <c r="D121" s="357"/>
      <c r="E121" s="358"/>
    </row>
    <row r="122" spans="1:7" ht="15" thickBot="1" x14ac:dyDescent="0.35">
      <c r="A122" s="356" t="s">
        <v>143</v>
      </c>
      <c r="B122" s="357"/>
      <c r="C122" s="358"/>
      <c r="D122" s="359" t="s">
        <v>126</v>
      </c>
      <c r="E122" s="359" t="s">
        <v>144</v>
      </c>
    </row>
    <row r="123" spans="1:7" x14ac:dyDescent="0.3">
      <c r="A123" s="332" t="s">
        <v>207</v>
      </c>
      <c r="B123" s="333"/>
      <c r="C123" s="334"/>
      <c r="D123" s="335"/>
      <c r="E123" s="335"/>
    </row>
    <row r="124" spans="1:7" ht="15" thickBot="1" x14ac:dyDescent="0.35">
      <c r="A124" s="270"/>
      <c r="B124" s="196"/>
      <c r="C124" s="196"/>
      <c r="D124" s="325"/>
      <c r="E124" s="325"/>
      <c r="F124" s="371"/>
    </row>
    <row r="125" spans="1:7" ht="15" thickBot="1" x14ac:dyDescent="0.35">
      <c r="A125" s="356" t="s">
        <v>161</v>
      </c>
      <c r="B125" s="357"/>
      <c r="C125" s="357"/>
      <c r="D125" s="357"/>
      <c r="E125" s="358"/>
    </row>
    <row r="126" spans="1:7" ht="15" thickBot="1" x14ac:dyDescent="0.35">
      <c r="A126" s="356" t="s">
        <v>143</v>
      </c>
      <c r="B126" s="357"/>
      <c r="C126" s="358"/>
      <c r="D126" s="359" t="s">
        <v>126</v>
      </c>
      <c r="E126" s="359" t="s">
        <v>144</v>
      </c>
      <c r="F126" s="359" t="s">
        <v>162</v>
      </c>
      <c r="G126" s="359" t="s">
        <v>164</v>
      </c>
    </row>
    <row r="127" spans="1:7" x14ac:dyDescent="0.3">
      <c r="A127" s="317" t="s">
        <v>213</v>
      </c>
      <c r="B127" s="318"/>
      <c r="C127" s="318"/>
      <c r="D127" s="373"/>
      <c r="E127" s="373"/>
      <c r="F127" s="374"/>
      <c r="G127" s="375"/>
    </row>
    <row r="128" spans="1:7" ht="15" thickBot="1" x14ac:dyDescent="0.35">
      <c r="A128" s="379" t="s">
        <v>163</v>
      </c>
      <c r="B128" s="195"/>
      <c r="C128" s="195"/>
      <c r="D128" s="380"/>
      <c r="E128" s="380"/>
      <c r="F128" s="381"/>
      <c r="G128" s="382"/>
    </row>
    <row r="129" spans="1:23" x14ac:dyDescent="0.3">
      <c r="A129" s="317" t="s">
        <v>200</v>
      </c>
      <c r="B129" s="318"/>
      <c r="C129" s="318"/>
      <c r="D129" s="373"/>
      <c r="E129" s="373"/>
      <c r="F129" s="383"/>
      <c r="G129" s="384"/>
    </row>
    <row r="130" spans="1:23" x14ac:dyDescent="0.3">
      <c r="A130" s="319" t="s">
        <v>213</v>
      </c>
      <c r="B130" s="184"/>
      <c r="C130" s="184"/>
      <c r="D130" s="376"/>
      <c r="E130" s="376"/>
      <c r="F130" s="274"/>
      <c r="G130" s="377"/>
    </row>
    <row r="131" spans="1:23" x14ac:dyDescent="0.3">
      <c r="A131" s="319" t="s">
        <v>163</v>
      </c>
      <c r="B131" s="184"/>
      <c r="C131" s="184"/>
      <c r="D131" s="376"/>
      <c r="E131" s="376"/>
      <c r="F131" s="274"/>
      <c r="G131" s="377"/>
    </row>
    <row r="132" spans="1:23" x14ac:dyDescent="0.3">
      <c r="A132" s="319" t="s">
        <v>201</v>
      </c>
      <c r="B132" s="184"/>
      <c r="C132" s="184"/>
      <c r="D132" s="376"/>
      <c r="E132" s="376"/>
      <c r="F132" s="274"/>
      <c r="G132" s="377"/>
    </row>
    <row r="133" spans="1:23" ht="15" thickBot="1" x14ac:dyDescent="0.35">
      <c r="A133" s="385" t="s">
        <v>202</v>
      </c>
      <c r="B133" s="386"/>
      <c r="C133" s="386"/>
      <c r="D133" s="389"/>
      <c r="E133" s="387"/>
      <c r="F133" s="388"/>
      <c r="G133" s="390"/>
    </row>
    <row r="134" spans="1:23" x14ac:dyDescent="0.3">
      <c r="A134" s="270"/>
      <c r="B134" s="196"/>
      <c r="C134" s="196"/>
      <c r="D134" s="325"/>
      <c r="E134" s="325"/>
      <c r="F134" s="372"/>
      <c r="G134" s="378"/>
    </row>
    <row r="135" spans="1:23" x14ac:dyDescent="0.3">
      <c r="A135" s="270"/>
      <c r="B135" s="196"/>
      <c r="C135" s="196"/>
      <c r="D135" s="325"/>
      <c r="E135" s="325"/>
      <c r="F135" s="371"/>
    </row>
    <row r="136" spans="1:23" ht="15" thickBot="1" x14ac:dyDescent="0.35"/>
    <row r="137" spans="1:23" ht="26.4" thickBot="1" x14ac:dyDescent="0.55000000000000004">
      <c r="A137" s="413" t="str">
        <f>+Experiencia!B16</f>
        <v>002</v>
      </c>
      <c r="B137" s="414"/>
      <c r="C137" s="414"/>
      <c r="D137" s="414"/>
      <c r="E137" s="414"/>
      <c r="F137" s="414"/>
      <c r="G137" s="414"/>
      <c r="H137" s="545"/>
      <c r="I137" s="414"/>
      <c r="J137" s="414"/>
      <c r="K137" s="414"/>
      <c r="L137" s="414"/>
      <c r="M137" s="414"/>
      <c r="N137" s="414"/>
      <c r="O137" s="414"/>
      <c r="P137" s="415"/>
    </row>
    <row r="138" spans="1:23" s="163" customFormat="1" ht="15" thickBot="1" x14ac:dyDescent="0.35">
      <c r="A138" s="412" t="str">
        <f>+Experiencia!C16</f>
        <v>CONSORCIO EDUCAR 2019</v>
      </c>
      <c r="B138" s="402"/>
      <c r="C138" s="402"/>
      <c r="D138" s="402"/>
      <c r="E138" s="402"/>
      <c r="F138" s="402"/>
      <c r="G138" s="402"/>
      <c r="H138" s="546"/>
      <c r="I138" s="402"/>
      <c r="J138" s="402"/>
      <c r="K138" s="402"/>
      <c r="L138" s="402"/>
      <c r="M138" s="402"/>
      <c r="N138" s="402"/>
      <c r="O138" s="403"/>
      <c r="P138" s="170"/>
      <c r="U138" s="465"/>
      <c r="V138" s="465"/>
      <c r="W138" s="465"/>
    </row>
    <row r="139" spans="1:23" s="169" customFormat="1" ht="35.4" x14ac:dyDescent="0.3">
      <c r="A139" s="180" t="s">
        <v>2</v>
      </c>
      <c r="B139" s="182" t="s">
        <v>189</v>
      </c>
      <c r="C139" s="181" t="s">
        <v>35</v>
      </c>
      <c r="D139" s="182" t="s">
        <v>96</v>
      </c>
      <c r="E139" s="182" t="s">
        <v>165</v>
      </c>
      <c r="F139" s="182" t="s">
        <v>97</v>
      </c>
      <c r="G139" s="182" t="s">
        <v>5</v>
      </c>
      <c r="H139" s="536" t="s">
        <v>99</v>
      </c>
      <c r="I139" s="182" t="s">
        <v>203</v>
      </c>
      <c r="J139" s="182" t="s">
        <v>141</v>
      </c>
      <c r="K139" s="182" t="s">
        <v>224</v>
      </c>
      <c r="L139" s="182" t="s">
        <v>204</v>
      </c>
      <c r="M139" s="182" t="s">
        <v>140</v>
      </c>
      <c r="N139" s="182" t="s">
        <v>214</v>
      </c>
      <c r="O139" s="182" t="s">
        <v>100</v>
      </c>
      <c r="P139" s="182" t="s">
        <v>94</v>
      </c>
      <c r="Q139" s="171"/>
      <c r="U139" s="465"/>
      <c r="V139" s="465"/>
      <c r="W139" s="465"/>
    </row>
    <row r="140" spans="1:23" s="312" customFormat="1" ht="48.6" customHeight="1" x14ac:dyDescent="0.3">
      <c r="A140" s="305">
        <v>1</v>
      </c>
      <c r="B140" s="305">
        <v>79</v>
      </c>
      <c r="C140" s="305" t="s">
        <v>268</v>
      </c>
      <c r="D140" s="305" t="s">
        <v>269</v>
      </c>
      <c r="E140" s="305" t="s">
        <v>270</v>
      </c>
      <c r="F140" s="305" t="s">
        <v>271</v>
      </c>
      <c r="G140" s="305" t="s">
        <v>272</v>
      </c>
      <c r="H140" s="537">
        <v>3192399181</v>
      </c>
      <c r="I140" s="313">
        <v>2015</v>
      </c>
      <c r="J140" s="306">
        <f>+H140/LOOKUP(I140,'TABLA SMMLV'!$B$2:$C$28)</f>
        <v>4954.4489501047565</v>
      </c>
      <c r="K140" s="307">
        <v>4531</v>
      </c>
      <c r="L140" s="308">
        <v>0.7</v>
      </c>
      <c r="M140" s="308">
        <v>1</v>
      </c>
      <c r="N140" s="309">
        <f>+M140*L140*K140</f>
        <v>3171.7</v>
      </c>
      <c r="O140" s="309">
        <f>+M140*L140*J140</f>
        <v>3468.1142650733295</v>
      </c>
      <c r="P140" s="310"/>
      <c r="Q140" s="311"/>
      <c r="U140" s="470"/>
      <c r="V140" s="470"/>
      <c r="W140" s="470"/>
    </row>
    <row r="141" spans="1:23" s="312" customFormat="1" ht="46.2" customHeight="1" x14ac:dyDescent="0.3">
      <c r="A141" s="305">
        <v>2</v>
      </c>
      <c r="B141" s="305">
        <v>79</v>
      </c>
      <c r="C141" s="305" t="s">
        <v>268</v>
      </c>
      <c r="D141" s="305" t="s">
        <v>269</v>
      </c>
      <c r="E141" s="305" t="s">
        <v>273</v>
      </c>
      <c r="F141" s="305" t="s">
        <v>271</v>
      </c>
      <c r="G141" s="305" t="s">
        <v>272</v>
      </c>
      <c r="H141" s="537">
        <v>3192399181</v>
      </c>
      <c r="I141" s="313">
        <v>2015</v>
      </c>
      <c r="J141" s="306">
        <f>+H141/LOOKUP(I141,'TABLA SMMLV'!$B$2:$C$28)</f>
        <v>4954.4489501047565</v>
      </c>
      <c r="K141" s="307">
        <v>4531</v>
      </c>
      <c r="L141" s="308">
        <v>0.3</v>
      </c>
      <c r="M141" s="308">
        <v>1</v>
      </c>
      <c r="N141" s="309">
        <f>+M141*L141*K141</f>
        <v>1359.3</v>
      </c>
      <c r="O141" s="309">
        <f>+M141*L141*J141</f>
        <v>1486.3346850314269</v>
      </c>
      <c r="P141" s="310"/>
      <c r="Q141" s="311"/>
      <c r="U141" s="470"/>
      <c r="V141" s="470"/>
      <c r="W141" s="470"/>
    </row>
    <row r="142" spans="1:23" s="163" customFormat="1" ht="38.4" customHeight="1" x14ac:dyDescent="0.3">
      <c r="A142" s="183">
        <v>3</v>
      </c>
      <c r="B142" s="183">
        <v>92</v>
      </c>
      <c r="C142" s="183">
        <v>2014000971</v>
      </c>
      <c r="D142" s="183" t="s">
        <v>274</v>
      </c>
      <c r="E142" s="183" t="s">
        <v>273</v>
      </c>
      <c r="F142" s="305" t="s">
        <v>275</v>
      </c>
      <c r="G142" s="186" t="s">
        <v>276</v>
      </c>
      <c r="H142" s="538">
        <v>1006219233.6900001</v>
      </c>
      <c r="I142" s="304">
        <v>2015</v>
      </c>
      <c r="J142" s="306">
        <f>+H142/LOOKUP(I142,'TABLA SMMLV'!$B$2:$C$28)</f>
        <v>1561.603528656786</v>
      </c>
      <c r="K142" s="305">
        <v>850</v>
      </c>
      <c r="L142" s="308">
        <v>0.5</v>
      </c>
      <c r="M142" s="308">
        <v>1</v>
      </c>
      <c r="N142" s="309">
        <f>+M142*L142*K142</f>
        <v>425</v>
      </c>
      <c r="O142" s="309">
        <f>+M142*L142*J142</f>
        <v>780.80176432839301</v>
      </c>
      <c r="P142" s="360"/>
      <c r="Q142" s="315"/>
      <c r="R142" s="314"/>
      <c r="U142" s="465"/>
      <c r="V142" s="465"/>
      <c r="W142" s="465"/>
    </row>
    <row r="143" spans="1:23" s="312" customFormat="1" ht="45.6" customHeight="1" x14ac:dyDescent="0.3">
      <c r="A143" s="305">
        <v>4</v>
      </c>
      <c r="B143" s="183"/>
      <c r="C143" s="183"/>
      <c r="D143" s="183"/>
      <c r="E143" s="183"/>
      <c r="F143" s="305"/>
      <c r="G143" s="186"/>
      <c r="H143" s="538"/>
      <c r="I143" s="304"/>
      <c r="J143" s="306"/>
      <c r="K143" s="305"/>
      <c r="L143" s="308"/>
      <c r="M143" s="308"/>
      <c r="N143" s="309">
        <f>+M143*L143*K143</f>
        <v>0</v>
      </c>
      <c r="O143" s="309">
        <f>+M143*L143*J143</f>
        <v>0</v>
      </c>
      <c r="P143" s="310"/>
      <c r="Q143" s="311"/>
      <c r="U143" s="470"/>
      <c r="V143" s="470"/>
      <c r="W143" s="470"/>
    </row>
    <row r="144" spans="1:23" s="163" customFormat="1" x14ac:dyDescent="0.3">
      <c r="A144" s="183">
        <v>5</v>
      </c>
      <c r="B144" s="183"/>
      <c r="C144" s="183"/>
      <c r="D144" s="183"/>
      <c r="E144" s="183"/>
      <c r="F144" s="183"/>
      <c r="G144" s="186"/>
      <c r="H144" s="538"/>
      <c r="I144" s="304"/>
      <c r="J144" s="306"/>
      <c r="K144" s="186"/>
      <c r="L144" s="188"/>
      <c r="M144" s="188"/>
      <c r="N144" s="316">
        <v>0</v>
      </c>
      <c r="O144" s="309">
        <v>0</v>
      </c>
      <c r="P144" s="310"/>
      <c r="Q144" s="173"/>
      <c r="U144" s="465"/>
      <c r="V144" s="465"/>
      <c r="W144" s="465"/>
    </row>
    <row r="145" spans="1:48" s="163" customFormat="1" x14ac:dyDescent="0.3">
      <c r="A145" s="183"/>
      <c r="B145" s="183"/>
      <c r="C145" s="183"/>
      <c r="D145" s="183"/>
      <c r="E145" s="183"/>
      <c r="F145" s="183"/>
      <c r="G145" s="186"/>
      <c r="H145" s="538"/>
      <c r="I145" s="304"/>
      <c r="J145" s="186"/>
      <c r="K145" s="186"/>
      <c r="L145" s="188"/>
      <c r="M145" s="188"/>
      <c r="N145" s="188"/>
      <c r="O145" s="188"/>
      <c r="P145" s="185"/>
      <c r="Q145" s="173"/>
      <c r="U145" s="465"/>
      <c r="V145" s="465"/>
      <c r="W145" s="465"/>
    </row>
    <row r="146" spans="1:48" s="163" customFormat="1" ht="15" thickBot="1" x14ac:dyDescent="0.35">
      <c r="A146" s="183"/>
      <c r="B146" s="183"/>
      <c r="C146" s="183"/>
      <c r="D146" s="183"/>
      <c r="E146" s="183"/>
      <c r="F146" s="183"/>
      <c r="G146" s="186"/>
      <c r="H146" s="538"/>
      <c r="I146" s="187"/>
      <c r="J146" s="186"/>
      <c r="K146" s="186"/>
      <c r="L146" s="188"/>
      <c r="M146" s="188"/>
      <c r="N146" s="188"/>
      <c r="O146" s="188"/>
      <c r="P146" s="185"/>
      <c r="Q146" s="173"/>
      <c r="U146" s="465"/>
      <c r="V146" s="465"/>
      <c r="W146" s="465"/>
    </row>
    <row r="147" spans="1:48" s="163" customFormat="1" ht="29.4" thickBot="1" x14ac:dyDescent="0.35">
      <c r="A147" s="189"/>
      <c r="B147" s="189"/>
      <c r="C147" s="189"/>
      <c r="D147" s="189"/>
      <c r="E147" s="189"/>
      <c r="F147" s="189"/>
      <c r="G147" s="476" t="s">
        <v>234</v>
      </c>
      <c r="H147" s="539"/>
      <c r="I147" s="190"/>
      <c r="J147" s="190"/>
      <c r="K147" s="190"/>
      <c r="L147" s="191"/>
      <c r="M147" s="191"/>
      <c r="N147" s="198">
        <f>SUM(N140:N146)</f>
        <v>4956</v>
      </c>
      <c r="O147" s="192"/>
      <c r="P147" s="193"/>
      <c r="Q147" s="173"/>
      <c r="U147" s="480" t="s">
        <v>250</v>
      </c>
      <c r="V147" s="465" t="s">
        <v>251</v>
      </c>
      <c r="W147" s="482" t="s">
        <v>252</v>
      </c>
      <c r="X147" s="480" t="s">
        <v>250</v>
      </c>
      <c r="Y147" s="465" t="s">
        <v>251</v>
      </c>
      <c r="Z147" s="482" t="s">
        <v>252</v>
      </c>
      <c r="AB147" s="480" t="s">
        <v>250</v>
      </c>
      <c r="AC147" s="465" t="s">
        <v>251</v>
      </c>
      <c r="AD147" s="482" t="s">
        <v>252</v>
      </c>
    </row>
    <row r="148" spans="1:48" s="163" customFormat="1" ht="15.75" customHeight="1" thickBot="1" x14ac:dyDescent="0.35">
      <c r="A148" s="189"/>
      <c r="B148" s="189"/>
      <c r="C148" s="189"/>
      <c r="D148" s="189"/>
      <c r="E148" s="189"/>
      <c r="F148" s="189"/>
      <c r="G148" s="476" t="s">
        <v>235</v>
      </c>
      <c r="H148" s="539"/>
      <c r="I148" s="190"/>
      <c r="J148" s="190"/>
      <c r="K148" s="190"/>
      <c r="L148" s="190"/>
      <c r="M148" s="190"/>
      <c r="N148" s="198"/>
      <c r="O148" s="194">
        <f>SUM(O140:O147)</f>
        <v>5735.2507144331494</v>
      </c>
      <c r="P148" s="189"/>
      <c r="Q148" s="173"/>
      <c r="U148" s="474">
        <v>40224</v>
      </c>
      <c r="V148" s="474">
        <v>40359</v>
      </c>
      <c r="W148" s="475">
        <f>+((V148-U148)+1)/30</f>
        <v>4.5333333333333332</v>
      </c>
      <c r="X148" s="474">
        <v>40926</v>
      </c>
      <c r="Y148" s="474">
        <v>41068</v>
      </c>
      <c r="Z148" s="475">
        <f>+((Y148-X148)+1)/30</f>
        <v>4.7666666666666666</v>
      </c>
      <c r="AB148" s="474">
        <v>41457</v>
      </c>
      <c r="AC148" s="474">
        <v>41506</v>
      </c>
      <c r="AD148" s="475">
        <f>+((AC148-AB148)+1)/30</f>
        <v>1.6666666666666667</v>
      </c>
    </row>
    <row r="149" spans="1:48" ht="15" thickBot="1" x14ac:dyDescent="0.35">
      <c r="U149" s="464">
        <v>40410</v>
      </c>
      <c r="V149" s="464">
        <v>40448</v>
      </c>
      <c r="W149" s="475">
        <f>+((V149-U149)+1)/30</f>
        <v>1.3</v>
      </c>
      <c r="X149" s="485">
        <v>41164</v>
      </c>
      <c r="Y149" s="485">
        <v>41230</v>
      </c>
      <c r="Z149" s="475">
        <f>+((Y149-X149)+1)/30</f>
        <v>2.2333333333333334</v>
      </c>
      <c r="AB149" s="485">
        <v>41519</v>
      </c>
      <c r="AC149" s="485">
        <v>41654</v>
      </c>
      <c r="AD149" s="475">
        <f>+((AC149-AB149)+1)/30</f>
        <v>4.5333333333333332</v>
      </c>
    </row>
    <row r="150" spans="1:48" s="163" customFormat="1" ht="37.200000000000003" thickBot="1" x14ac:dyDescent="0.35">
      <c r="A150" s="352" t="s">
        <v>277</v>
      </c>
      <c r="B150" s="353"/>
      <c r="C150" s="353"/>
      <c r="D150" s="353"/>
      <c r="E150" s="354"/>
      <c r="F150" s="559" t="s">
        <v>503</v>
      </c>
      <c r="G150" s="269"/>
      <c r="H150" s="540"/>
      <c r="I150" s="196"/>
      <c r="J150" s="196"/>
      <c r="K150" s="196"/>
      <c r="L150" s="196"/>
      <c r="M150" s="196"/>
      <c r="N150" s="196"/>
      <c r="O150" s="196"/>
      <c r="P150" s="173"/>
      <c r="U150" s="464">
        <v>40505</v>
      </c>
      <c r="V150" s="464">
        <v>40633</v>
      </c>
      <c r="W150" s="475">
        <f>+((V150-U150)+1)/30</f>
        <v>4.3</v>
      </c>
      <c r="X150" s="485">
        <v>41381</v>
      </c>
      <c r="Y150" s="485">
        <v>41425</v>
      </c>
      <c r="Z150" s="475">
        <f>+((Y150-X150)+1)/30</f>
        <v>1.5</v>
      </c>
      <c r="AB150" s="485"/>
      <c r="AC150" s="485"/>
      <c r="AD150" s="475">
        <f>+((AC150-AB150)+0)/30</f>
        <v>0</v>
      </c>
    </row>
    <row r="151" spans="1:48" s="163" customFormat="1" ht="15" thickBot="1" x14ac:dyDescent="0.35">
      <c r="A151" s="352" t="s">
        <v>143</v>
      </c>
      <c r="B151" s="353"/>
      <c r="C151" s="354"/>
      <c r="D151" s="355" t="s">
        <v>126</v>
      </c>
      <c r="E151" s="355" t="s">
        <v>144</v>
      </c>
      <c r="F151" s="268"/>
      <c r="G151" s="269"/>
      <c r="H151" s="540"/>
      <c r="I151" s="196"/>
      <c r="J151" s="196"/>
      <c r="K151" s="196"/>
      <c r="L151" s="196"/>
      <c r="M151" s="196"/>
      <c r="N151" s="196"/>
      <c r="O151" s="196"/>
      <c r="P151" s="173"/>
      <c r="U151" s="465"/>
      <c r="V151" s="483" t="s">
        <v>292</v>
      </c>
      <c r="W151" s="481">
        <f>SUM(W148:W150)</f>
        <v>10.133333333333333</v>
      </c>
      <c r="Y151" s="483" t="s">
        <v>292</v>
      </c>
      <c r="Z151" s="481">
        <f>SUM(Z148:Z150)</f>
        <v>8.5</v>
      </c>
      <c r="AC151" s="483" t="s">
        <v>292</v>
      </c>
      <c r="AD151" s="481">
        <f>SUM(AD148:AD150)</f>
        <v>6.2</v>
      </c>
    </row>
    <row r="152" spans="1:48" s="163" customFormat="1" x14ac:dyDescent="0.3">
      <c r="A152" s="332" t="s">
        <v>187</v>
      </c>
      <c r="B152" s="333"/>
      <c r="C152" s="334"/>
      <c r="D152" s="335" t="s">
        <v>90</v>
      </c>
      <c r="E152" s="335">
        <v>104</v>
      </c>
      <c r="F152" s="268"/>
      <c r="G152" s="269"/>
      <c r="H152" s="540"/>
      <c r="I152" s="196"/>
      <c r="J152" s="196"/>
      <c r="K152" s="196"/>
      <c r="L152" s="196"/>
      <c r="M152" s="196"/>
      <c r="N152" s="196"/>
      <c r="O152" s="196"/>
      <c r="P152" s="173"/>
      <c r="U152" s="465"/>
      <c r="V152" s="465"/>
      <c r="W152" s="465"/>
    </row>
    <row r="153" spans="1:48" s="163" customFormat="1" x14ac:dyDescent="0.3">
      <c r="A153" s="326" t="s">
        <v>188</v>
      </c>
      <c r="B153" s="327"/>
      <c r="C153" s="328"/>
      <c r="D153" s="320" t="s">
        <v>90</v>
      </c>
      <c r="E153" s="320">
        <v>105</v>
      </c>
      <c r="F153" s="268"/>
      <c r="G153" s="269"/>
      <c r="H153" s="540"/>
      <c r="I153" s="196"/>
      <c r="J153" s="196"/>
      <c r="K153" s="196"/>
      <c r="L153" s="196"/>
      <c r="M153" s="196"/>
      <c r="N153" s="196"/>
      <c r="O153" s="196"/>
      <c r="P153" s="173"/>
      <c r="U153" s="465"/>
      <c r="V153" s="465"/>
      <c r="W153" s="465"/>
    </row>
    <row r="154" spans="1:48" s="163" customFormat="1" ht="15" thickBot="1" x14ac:dyDescent="0.35">
      <c r="A154" s="329" t="s">
        <v>142</v>
      </c>
      <c r="B154" s="330"/>
      <c r="C154" s="331"/>
      <c r="D154" s="321" t="s">
        <v>90</v>
      </c>
      <c r="E154" s="321">
        <v>106</v>
      </c>
      <c r="F154" s="268"/>
      <c r="G154" s="269"/>
      <c r="H154" s="540"/>
      <c r="I154" s="196"/>
      <c r="J154" s="196"/>
      <c r="K154" s="196"/>
      <c r="L154" s="196"/>
      <c r="M154" s="196"/>
      <c r="N154" s="196"/>
      <c r="O154" s="196"/>
      <c r="P154" s="173"/>
      <c r="U154" s="465"/>
      <c r="V154" s="465"/>
      <c r="W154" s="465"/>
    </row>
    <row r="155" spans="1:48" s="163" customFormat="1" x14ac:dyDescent="0.3">
      <c r="A155" s="322"/>
      <c r="B155" s="323"/>
      <c r="C155" s="324"/>
      <c r="D155" s="325"/>
      <c r="E155" s="325"/>
      <c r="F155" s="268"/>
      <c r="G155" s="269"/>
      <c r="H155" s="540"/>
      <c r="I155" s="196"/>
      <c r="J155" s="196"/>
      <c r="K155" s="196"/>
      <c r="L155" s="196"/>
      <c r="M155" s="196"/>
      <c r="N155" s="196"/>
      <c r="O155" s="196"/>
      <c r="P155" s="173"/>
      <c r="U155" s="465"/>
      <c r="V155" s="465"/>
      <c r="W155" s="465"/>
    </row>
    <row r="156" spans="1:48" s="163" customFormat="1" ht="46.8" x14ac:dyDescent="0.3">
      <c r="A156" s="182" t="s">
        <v>206</v>
      </c>
      <c r="B156" s="182" t="s">
        <v>35</v>
      </c>
      <c r="C156" s="182" t="s">
        <v>258</v>
      </c>
      <c r="D156" s="182" t="s">
        <v>207</v>
      </c>
      <c r="E156" s="182" t="s">
        <v>241</v>
      </c>
      <c r="F156" s="182" t="s">
        <v>242</v>
      </c>
      <c r="G156" s="182" t="s">
        <v>243</v>
      </c>
      <c r="H156" s="541" t="s">
        <v>244</v>
      </c>
      <c r="I156" s="271" t="s">
        <v>5</v>
      </c>
      <c r="J156" s="271" t="s">
        <v>145</v>
      </c>
      <c r="K156" s="271" t="s">
        <v>190</v>
      </c>
      <c r="L156" s="271" t="s">
        <v>147</v>
      </c>
      <c r="M156" s="271" t="s">
        <v>129</v>
      </c>
      <c r="N156" s="271" t="s">
        <v>245</v>
      </c>
      <c r="O156" s="271" t="s">
        <v>208</v>
      </c>
      <c r="P156" s="271" t="s">
        <v>249</v>
      </c>
      <c r="Q156" s="271" t="s">
        <v>148</v>
      </c>
      <c r="R156" s="271" t="s">
        <v>192</v>
      </c>
      <c r="S156" s="271"/>
      <c r="T156" s="173"/>
      <c r="X156" s="465"/>
    </row>
    <row r="157" spans="1:48" s="312" customFormat="1" ht="72" x14ac:dyDescent="0.3">
      <c r="A157" s="338">
        <v>1</v>
      </c>
      <c r="B157" s="338" t="s">
        <v>278</v>
      </c>
      <c r="C157" s="338">
        <v>108</v>
      </c>
      <c r="D157" s="338" t="s">
        <v>90</v>
      </c>
      <c r="E157" s="338" t="s">
        <v>98</v>
      </c>
      <c r="F157" s="338" t="s">
        <v>279</v>
      </c>
      <c r="G157" s="338" t="s">
        <v>280</v>
      </c>
      <c r="H157" s="542" t="s">
        <v>281</v>
      </c>
      <c r="I157" s="339" t="s">
        <v>282</v>
      </c>
      <c r="J157" s="339">
        <v>40099</v>
      </c>
      <c r="K157" s="339">
        <v>40173</v>
      </c>
      <c r="L157" s="391">
        <f t="shared" ref="L157:L162" si="0">+(K157-J157)/30</f>
        <v>2.4666666666666668</v>
      </c>
      <c r="M157" s="338">
        <v>2.5</v>
      </c>
      <c r="N157" s="338">
        <v>109</v>
      </c>
      <c r="O157" s="338" t="s">
        <v>166</v>
      </c>
      <c r="P157" s="338">
        <v>112</v>
      </c>
      <c r="Q157" s="338">
        <v>0</v>
      </c>
      <c r="R157" s="338" t="s">
        <v>283</v>
      </c>
      <c r="S157" s="311"/>
      <c r="U157" s="471"/>
      <c r="V157" s="471"/>
      <c r="W157" s="470"/>
      <c r="X157" s="340"/>
      <c r="Y157" s="340"/>
      <c r="Z157" s="340"/>
    </row>
    <row r="158" spans="1:48" s="312" customFormat="1" ht="72" x14ac:dyDescent="0.3">
      <c r="A158" s="338">
        <v>2</v>
      </c>
      <c r="B158" s="338" t="s">
        <v>284</v>
      </c>
      <c r="C158" s="338">
        <v>113</v>
      </c>
      <c r="D158" s="338" t="s">
        <v>90</v>
      </c>
      <c r="E158" s="338" t="s">
        <v>98</v>
      </c>
      <c r="F158" s="338" t="s">
        <v>279</v>
      </c>
      <c r="G158" s="338" t="s">
        <v>285</v>
      </c>
      <c r="H158" s="542" t="s">
        <v>286</v>
      </c>
      <c r="I158" s="339" t="s">
        <v>287</v>
      </c>
      <c r="J158" s="339">
        <v>40296</v>
      </c>
      <c r="K158" s="339">
        <v>40510</v>
      </c>
      <c r="L158" s="391">
        <f t="shared" si="0"/>
        <v>7.1333333333333337</v>
      </c>
      <c r="M158" s="338">
        <f>3+3</f>
        <v>6</v>
      </c>
      <c r="N158" s="338" t="s">
        <v>288</v>
      </c>
      <c r="O158" s="338" t="s">
        <v>98</v>
      </c>
      <c r="P158" s="338">
        <v>119</v>
      </c>
      <c r="Q158" s="338">
        <v>6</v>
      </c>
      <c r="R158" s="338"/>
      <c r="S158" s="311"/>
      <c r="U158" s="471"/>
      <c r="V158" s="471"/>
      <c r="W158" s="470"/>
      <c r="X158" s="340"/>
      <c r="Y158" s="340"/>
      <c r="Z158" s="340"/>
      <c r="AU158" s="312">
        <v>41856</v>
      </c>
      <c r="AV158" s="312">
        <f>+AU158-AT158</f>
        <v>41856</v>
      </c>
    </row>
    <row r="159" spans="1:48" s="312" customFormat="1" ht="109.95" customHeight="1" x14ac:dyDescent="0.3">
      <c r="A159" s="338">
        <v>3</v>
      </c>
      <c r="B159" s="338" t="s">
        <v>229</v>
      </c>
      <c r="C159" s="338">
        <v>120</v>
      </c>
      <c r="D159" s="338" t="s">
        <v>90</v>
      </c>
      <c r="E159" s="338" t="s">
        <v>98</v>
      </c>
      <c r="F159" s="338" t="s">
        <v>279</v>
      </c>
      <c r="G159" s="338" t="s">
        <v>289</v>
      </c>
      <c r="H159" s="542" t="s">
        <v>281</v>
      </c>
      <c r="I159" s="339" t="s">
        <v>290</v>
      </c>
      <c r="J159" s="339">
        <v>40224</v>
      </c>
      <c r="K159" s="339">
        <v>40574</v>
      </c>
      <c r="L159" s="391">
        <f t="shared" si="0"/>
        <v>11.666666666666666</v>
      </c>
      <c r="M159" s="391">
        <f>5+20/30</f>
        <v>5.666666666666667</v>
      </c>
      <c r="N159" s="338" t="s">
        <v>291</v>
      </c>
      <c r="O159" s="338" t="s">
        <v>98</v>
      </c>
      <c r="P159" s="338">
        <v>128</v>
      </c>
      <c r="Q159" s="391">
        <f>+(13+28)/30</f>
        <v>1.3666666666666667</v>
      </c>
      <c r="R159" s="338" t="s">
        <v>293</v>
      </c>
      <c r="S159" s="311"/>
      <c r="U159" s="471"/>
      <c r="V159" s="471"/>
      <c r="W159" s="470"/>
      <c r="X159" s="340"/>
      <c r="Y159" s="340"/>
      <c r="Z159" s="340"/>
      <c r="AV159" s="312">
        <f t="shared" ref="AV159" si="1">+AU159-AT159</f>
        <v>0</v>
      </c>
    </row>
    <row r="160" spans="1:48" s="312" customFormat="1" ht="86.4" x14ac:dyDescent="0.3">
      <c r="A160" s="338">
        <v>4</v>
      </c>
      <c r="B160" s="338" t="s">
        <v>294</v>
      </c>
      <c r="C160" s="338">
        <v>132</v>
      </c>
      <c r="D160" s="338" t="s">
        <v>90</v>
      </c>
      <c r="E160" s="338" t="s">
        <v>98</v>
      </c>
      <c r="F160" s="338" t="s">
        <v>279</v>
      </c>
      <c r="G160" s="338" t="s">
        <v>295</v>
      </c>
      <c r="H160" s="542" t="s">
        <v>281</v>
      </c>
      <c r="I160" s="339" t="s">
        <v>296</v>
      </c>
      <c r="J160" s="339">
        <v>38973</v>
      </c>
      <c r="K160" s="339">
        <v>39081</v>
      </c>
      <c r="L160" s="391">
        <f t="shared" si="0"/>
        <v>3.6</v>
      </c>
      <c r="M160" s="338">
        <v>4</v>
      </c>
      <c r="N160" s="338">
        <v>132</v>
      </c>
      <c r="O160" s="338" t="s">
        <v>166</v>
      </c>
      <c r="P160" s="338">
        <v>136</v>
      </c>
      <c r="Q160" s="338">
        <v>0</v>
      </c>
      <c r="R160" s="338" t="s">
        <v>283</v>
      </c>
      <c r="S160" s="311"/>
      <c r="U160" s="471"/>
      <c r="V160" s="471"/>
      <c r="W160" s="470"/>
      <c r="X160" s="340"/>
      <c r="Y160" s="340"/>
      <c r="Z160" s="340"/>
    </row>
    <row r="161" spans="1:48" s="312" customFormat="1" ht="106.95" customHeight="1" x14ac:dyDescent="0.3">
      <c r="A161" s="338">
        <v>5</v>
      </c>
      <c r="B161" s="338" t="s">
        <v>297</v>
      </c>
      <c r="C161" s="338">
        <v>137</v>
      </c>
      <c r="D161" s="338" t="s">
        <v>90</v>
      </c>
      <c r="E161" s="338" t="s">
        <v>98</v>
      </c>
      <c r="F161" s="338" t="s">
        <v>279</v>
      </c>
      <c r="G161" s="338" t="s">
        <v>298</v>
      </c>
      <c r="H161" s="542" t="s">
        <v>281</v>
      </c>
      <c r="I161" s="339" t="s">
        <v>299</v>
      </c>
      <c r="J161" s="339">
        <v>40926</v>
      </c>
      <c r="K161" s="339">
        <v>41394</v>
      </c>
      <c r="L161" s="391">
        <f t="shared" si="0"/>
        <v>15.6</v>
      </c>
      <c r="M161" s="338">
        <v>8</v>
      </c>
      <c r="N161" s="338">
        <v>140</v>
      </c>
      <c r="O161" s="338" t="s">
        <v>98</v>
      </c>
      <c r="P161" s="338">
        <v>138</v>
      </c>
      <c r="Q161" s="338">
        <v>8</v>
      </c>
      <c r="R161" s="338"/>
      <c r="S161" s="311"/>
      <c r="U161" s="471"/>
      <c r="V161" s="471"/>
      <c r="W161" s="470"/>
      <c r="X161" s="340"/>
      <c r="Y161" s="340"/>
      <c r="Z161" s="340"/>
    </row>
    <row r="162" spans="1:48" s="312" customFormat="1" ht="101.4" customHeight="1" x14ac:dyDescent="0.3">
      <c r="A162" s="338">
        <v>6</v>
      </c>
      <c r="B162" s="338" t="s">
        <v>300</v>
      </c>
      <c r="C162" s="338">
        <v>144</v>
      </c>
      <c r="D162" s="338" t="s">
        <v>90</v>
      </c>
      <c r="E162" s="338" t="s">
        <v>98</v>
      </c>
      <c r="F162" s="338" t="s">
        <v>279</v>
      </c>
      <c r="G162" s="338" t="s">
        <v>301</v>
      </c>
      <c r="H162" s="542" t="s">
        <v>281</v>
      </c>
      <c r="I162" s="339" t="s">
        <v>302</v>
      </c>
      <c r="J162" s="339">
        <v>41457</v>
      </c>
      <c r="K162" s="339">
        <v>41654</v>
      </c>
      <c r="L162" s="391">
        <f t="shared" si="0"/>
        <v>6.5666666666666664</v>
      </c>
      <c r="M162" s="338">
        <f>5+1</f>
        <v>6</v>
      </c>
      <c r="N162" s="338">
        <v>145</v>
      </c>
      <c r="O162" s="338" t="s">
        <v>98</v>
      </c>
      <c r="P162" s="338">
        <v>151</v>
      </c>
      <c r="Q162" s="338">
        <v>6</v>
      </c>
      <c r="R162" s="338"/>
      <c r="S162" s="311"/>
      <c r="U162" s="471"/>
      <c r="V162" s="471"/>
      <c r="W162" s="470"/>
      <c r="X162" s="340"/>
      <c r="Y162" s="340"/>
      <c r="Z162" s="340"/>
      <c r="AV162" s="312">
        <f>SUM(AV158:AV161)+COUNT(AV158:AV161)</f>
        <v>41858</v>
      </c>
    </row>
    <row r="163" spans="1:48" s="312" customFormat="1" ht="72" x14ac:dyDescent="0.3">
      <c r="A163" s="338">
        <v>7</v>
      </c>
      <c r="B163" s="338">
        <v>20141540</v>
      </c>
      <c r="C163" s="338">
        <v>153</v>
      </c>
      <c r="D163" s="338" t="s">
        <v>90</v>
      </c>
      <c r="E163" s="338" t="s">
        <v>98</v>
      </c>
      <c r="F163" s="338" t="s">
        <v>279</v>
      </c>
      <c r="G163" s="338" t="s">
        <v>359</v>
      </c>
      <c r="H163" s="542" t="s">
        <v>281</v>
      </c>
      <c r="I163" s="339" t="s">
        <v>486</v>
      </c>
      <c r="J163" s="339">
        <v>41815</v>
      </c>
      <c r="K163" s="339">
        <v>43074</v>
      </c>
      <c r="L163" s="391">
        <f t="shared" ref="L163:L167" si="2">+(K163-J163)/30</f>
        <v>41.966666666666669</v>
      </c>
      <c r="M163" s="338">
        <f t="shared" ref="M163" si="3">5+1</f>
        <v>6</v>
      </c>
      <c r="N163" s="338"/>
      <c r="O163" s="338" t="s">
        <v>98</v>
      </c>
      <c r="P163" s="338">
        <v>157</v>
      </c>
      <c r="Q163" s="338"/>
      <c r="R163" s="338" t="s">
        <v>487</v>
      </c>
      <c r="S163" s="311"/>
      <c r="U163" s="471"/>
      <c r="V163" s="471"/>
      <c r="W163" s="470"/>
      <c r="X163" s="340"/>
      <c r="Y163" s="340"/>
      <c r="Z163" s="340"/>
      <c r="AV163" s="312">
        <f>+AV162/30</f>
        <v>1395.2666666666667</v>
      </c>
    </row>
    <row r="164" spans="1:48" s="312" customFormat="1" ht="43.2" x14ac:dyDescent="0.3">
      <c r="A164" s="338">
        <v>8</v>
      </c>
      <c r="B164" s="338">
        <v>2014000971</v>
      </c>
      <c r="C164" s="338">
        <v>160</v>
      </c>
      <c r="D164" s="338" t="s">
        <v>90</v>
      </c>
      <c r="E164" s="338" t="s">
        <v>98</v>
      </c>
      <c r="F164" s="338" t="s">
        <v>279</v>
      </c>
      <c r="G164" s="338" t="s">
        <v>489</v>
      </c>
      <c r="H164" s="542" t="s">
        <v>274</v>
      </c>
      <c r="I164" s="339" t="s">
        <v>488</v>
      </c>
      <c r="J164" s="339">
        <v>42037</v>
      </c>
      <c r="K164" s="339">
        <v>42353</v>
      </c>
      <c r="L164" s="391">
        <f t="shared" si="2"/>
        <v>10.533333333333333</v>
      </c>
      <c r="M164" s="338">
        <v>10.25</v>
      </c>
      <c r="N164" s="338">
        <v>161</v>
      </c>
      <c r="O164" s="338" t="s">
        <v>98</v>
      </c>
      <c r="P164" s="338" t="s">
        <v>502</v>
      </c>
      <c r="Q164" s="338"/>
      <c r="R164" s="338"/>
      <c r="S164" s="311"/>
      <c r="U164" s="471"/>
      <c r="V164" s="471"/>
      <c r="W164" s="470"/>
      <c r="X164" s="340"/>
      <c r="Y164" s="340"/>
      <c r="Z164" s="340"/>
    </row>
    <row r="165" spans="1:48" s="163" customFormat="1" ht="57.6" x14ac:dyDescent="0.3">
      <c r="A165" s="272">
        <v>9</v>
      </c>
      <c r="B165" s="272" t="s">
        <v>493</v>
      </c>
      <c r="C165" s="272">
        <v>167</v>
      </c>
      <c r="D165" s="272" t="s">
        <v>90</v>
      </c>
      <c r="E165" s="272" t="s">
        <v>279</v>
      </c>
      <c r="F165" s="272" t="s">
        <v>98</v>
      </c>
      <c r="G165" s="272" t="s">
        <v>490</v>
      </c>
      <c r="H165" s="543" t="s">
        <v>279</v>
      </c>
      <c r="I165" s="337" t="s">
        <v>491</v>
      </c>
      <c r="J165" s="528">
        <v>42304</v>
      </c>
      <c r="K165" s="528">
        <v>42451</v>
      </c>
      <c r="L165" s="391">
        <f>+(K165-J165)/30</f>
        <v>4.9000000000000004</v>
      </c>
      <c r="M165" s="338">
        <v>3.43</v>
      </c>
      <c r="N165" s="338" t="s">
        <v>499</v>
      </c>
      <c r="O165" s="272" t="s">
        <v>98</v>
      </c>
      <c r="P165" s="530" t="s">
        <v>498</v>
      </c>
      <c r="Q165" s="272"/>
      <c r="R165" s="272"/>
      <c r="S165" s="173"/>
      <c r="U165" s="464"/>
      <c r="V165" s="464"/>
      <c r="W165" s="464">
        <v>42591</v>
      </c>
      <c r="X165" s="509">
        <v>42627</v>
      </c>
      <c r="Y165" s="272">
        <f t="shared" ref="Y165:Y166" si="4">+(X165-W165)/30</f>
        <v>1.2</v>
      </c>
    </row>
    <row r="166" spans="1:48" s="163" customFormat="1" ht="72" x14ac:dyDescent="0.3">
      <c r="A166" s="272">
        <v>10</v>
      </c>
      <c r="B166" s="272" t="s">
        <v>494</v>
      </c>
      <c r="C166" s="272">
        <v>174</v>
      </c>
      <c r="D166" s="272" t="s">
        <v>115</v>
      </c>
      <c r="E166" s="272" t="s">
        <v>279</v>
      </c>
      <c r="F166" s="272" t="s">
        <v>98</v>
      </c>
      <c r="G166" s="272" t="s">
        <v>495</v>
      </c>
      <c r="H166" s="543" t="s">
        <v>279</v>
      </c>
      <c r="I166" s="272" t="s">
        <v>496</v>
      </c>
      <c r="J166" s="337">
        <v>42591</v>
      </c>
      <c r="K166" s="528">
        <v>42776</v>
      </c>
      <c r="L166" s="272">
        <f t="shared" si="2"/>
        <v>6.166666666666667</v>
      </c>
      <c r="M166" s="338">
        <v>1.76</v>
      </c>
      <c r="N166" s="272" t="s">
        <v>497</v>
      </c>
      <c r="O166" s="272" t="s">
        <v>98</v>
      </c>
      <c r="P166" s="556">
        <v>174</v>
      </c>
      <c r="Q166" s="272"/>
      <c r="R166" s="272" t="s">
        <v>492</v>
      </c>
      <c r="S166" s="173"/>
      <c r="U166" s="464"/>
      <c r="V166" s="464"/>
      <c r="W166" s="464">
        <v>42759</v>
      </c>
      <c r="X166" s="509">
        <v>42776</v>
      </c>
      <c r="Y166" s="272">
        <f t="shared" si="4"/>
        <v>0.56666666666666665</v>
      </c>
    </row>
    <row r="167" spans="1:48" s="163" customFormat="1" ht="57.6" x14ac:dyDescent="0.3">
      <c r="A167" s="272">
        <v>11</v>
      </c>
      <c r="B167" s="272" t="s">
        <v>324</v>
      </c>
      <c r="C167" s="272">
        <v>179</v>
      </c>
      <c r="D167" s="272" t="s">
        <v>90</v>
      </c>
      <c r="E167" s="272" t="s">
        <v>279</v>
      </c>
      <c r="F167" s="272" t="s">
        <v>279</v>
      </c>
      <c r="G167" s="272" t="s">
        <v>500</v>
      </c>
      <c r="H167" s="543" t="s">
        <v>279</v>
      </c>
      <c r="I167" s="272" t="s">
        <v>501</v>
      </c>
      <c r="J167" s="337">
        <v>42913</v>
      </c>
      <c r="K167" s="528">
        <v>43339</v>
      </c>
      <c r="L167" s="272">
        <f t="shared" si="2"/>
        <v>14.2</v>
      </c>
      <c r="M167" s="272"/>
      <c r="N167" s="272" t="s">
        <v>115</v>
      </c>
      <c r="O167" s="272" t="s">
        <v>98</v>
      </c>
      <c r="P167" s="273" t="s">
        <v>115</v>
      </c>
      <c r="Q167" s="272"/>
      <c r="R167" s="272"/>
      <c r="S167" s="173"/>
      <c r="U167" s="464"/>
      <c r="V167" s="464"/>
      <c r="W167" s="465"/>
      <c r="Y167" s="163">
        <f>SUM(Y165:Y166)</f>
        <v>1.7666666666666666</v>
      </c>
    </row>
    <row r="168" spans="1:48" s="163" customFormat="1" x14ac:dyDescent="0.3">
      <c r="A168" s="272">
        <v>12</v>
      </c>
      <c r="B168" s="272"/>
      <c r="C168" s="272"/>
      <c r="D168" s="272"/>
      <c r="E168" s="272"/>
      <c r="F168" s="272"/>
      <c r="G168" s="272"/>
      <c r="H168" s="543"/>
      <c r="I168" s="272"/>
      <c r="J168" s="337"/>
      <c r="K168" s="274"/>
      <c r="L168" s="272"/>
      <c r="M168" s="272"/>
      <c r="N168" s="272"/>
      <c r="O168" s="272"/>
      <c r="P168" s="273"/>
      <c r="Q168" s="272"/>
      <c r="R168" s="272"/>
      <c r="S168" s="173"/>
      <c r="U168" s="464"/>
      <c r="V168" s="464"/>
      <c r="W168" s="465"/>
    </row>
    <row r="169" spans="1:48" s="163" customFormat="1" x14ac:dyDescent="0.3">
      <c r="A169" s="272"/>
      <c r="B169" s="272"/>
      <c r="C169" s="272"/>
      <c r="D169" s="272"/>
      <c r="E169" s="272"/>
      <c r="F169" s="272"/>
      <c r="G169" s="272"/>
      <c r="H169" s="543"/>
      <c r="I169" s="272"/>
      <c r="J169" s="337"/>
      <c r="K169" s="274"/>
      <c r="L169" s="272"/>
      <c r="M169" s="272"/>
      <c r="N169" s="272"/>
      <c r="O169" s="272"/>
      <c r="P169" s="273"/>
      <c r="Q169" s="272"/>
      <c r="R169" s="272"/>
      <c r="S169" s="173"/>
      <c r="U169" s="464"/>
      <c r="V169" s="464"/>
      <c r="W169" s="465"/>
    </row>
    <row r="170" spans="1:48" s="163" customFormat="1" ht="27.6" x14ac:dyDescent="0.3">
      <c r="A170" s="272"/>
      <c r="B170" s="272"/>
      <c r="C170" s="272"/>
      <c r="D170" s="272"/>
      <c r="E170" s="272"/>
      <c r="F170" s="272"/>
      <c r="G170" s="272"/>
      <c r="H170" s="547"/>
      <c r="I170" s="276"/>
      <c r="J170" s="276"/>
      <c r="K170" s="275"/>
      <c r="L170" s="272"/>
      <c r="M170" s="272"/>
      <c r="N170" s="272"/>
      <c r="O170" s="557"/>
      <c r="P170" s="276" t="s">
        <v>146</v>
      </c>
      <c r="Q170" s="274">
        <f>SUM(Q157:Q166)</f>
        <v>21.366666666666667</v>
      </c>
      <c r="R170" s="272"/>
      <c r="S170" s="173"/>
      <c r="U170" s="464"/>
      <c r="V170" s="464"/>
      <c r="W170" s="465"/>
    </row>
    <row r="171" spans="1:48" s="163" customFormat="1" ht="15" thickBot="1" x14ac:dyDescent="0.35">
      <c r="A171" s="272"/>
      <c r="B171" s="272"/>
      <c r="C171" s="272"/>
      <c r="D171" s="272"/>
      <c r="E171" s="272"/>
      <c r="F171" s="272"/>
      <c r="G171" s="272"/>
      <c r="H171" s="543"/>
      <c r="I171" s="272"/>
      <c r="J171" s="272"/>
      <c r="K171" s="272"/>
      <c r="L171" s="272"/>
      <c r="M171" s="272"/>
      <c r="N171" s="272"/>
      <c r="O171" s="272"/>
      <c r="P171" s="272"/>
      <c r="Q171" s="173"/>
      <c r="U171" s="465"/>
      <c r="V171" s="465"/>
      <c r="W171" s="465"/>
    </row>
    <row r="172" spans="1:48" s="163" customFormat="1" ht="15" thickBot="1" x14ac:dyDescent="0.35">
      <c r="A172" s="352" t="s">
        <v>265</v>
      </c>
      <c r="B172" s="353"/>
      <c r="C172" s="353"/>
      <c r="D172" s="353"/>
      <c r="E172" s="354"/>
      <c r="F172" s="268"/>
      <c r="G172" s="269"/>
      <c r="H172" s="540"/>
      <c r="I172" s="196"/>
      <c r="J172" s="196"/>
      <c r="K172" s="196"/>
      <c r="L172" s="196"/>
      <c r="M172" s="196"/>
      <c r="N172" s="196"/>
      <c r="O172" s="196"/>
      <c r="P172" s="173"/>
      <c r="U172" s="465"/>
      <c r="V172" s="465"/>
      <c r="W172" s="465"/>
    </row>
    <row r="173" spans="1:48" s="163" customFormat="1" ht="15" thickBot="1" x14ac:dyDescent="0.35">
      <c r="A173" s="352" t="s">
        <v>143</v>
      </c>
      <c r="B173" s="353"/>
      <c r="C173" s="354"/>
      <c r="D173" s="355" t="s">
        <v>126</v>
      </c>
      <c r="E173" s="355" t="s">
        <v>144</v>
      </c>
      <c r="F173" s="268"/>
      <c r="G173" s="269"/>
      <c r="H173" s="540"/>
      <c r="I173" s="196"/>
      <c r="J173" s="196"/>
      <c r="K173" s="196"/>
      <c r="L173" s="196"/>
      <c r="M173" s="196"/>
      <c r="N173" s="196"/>
      <c r="O173" s="196"/>
      <c r="P173" s="173"/>
      <c r="U173" s="465"/>
      <c r="V173" s="465"/>
      <c r="W173" s="465"/>
    </row>
    <row r="174" spans="1:48" s="163" customFormat="1" x14ac:dyDescent="0.3">
      <c r="A174" s="332" t="s">
        <v>187</v>
      </c>
      <c r="B174" s="333"/>
      <c r="C174" s="334"/>
      <c r="D174" s="335"/>
      <c r="E174" s="335"/>
      <c r="F174" s="268"/>
      <c r="G174" s="269"/>
      <c r="H174" s="540"/>
      <c r="I174" s="196"/>
      <c r="J174" s="196"/>
      <c r="K174" s="196"/>
      <c r="L174" s="196"/>
      <c r="M174" s="196"/>
      <c r="N174" s="196"/>
      <c r="O174" s="196"/>
      <c r="P174" s="173"/>
      <c r="U174" s="465"/>
      <c r="V174" s="465"/>
      <c r="W174" s="465"/>
    </row>
    <row r="175" spans="1:48" s="163" customFormat="1" x14ac:dyDescent="0.3">
      <c r="A175" s="326" t="s">
        <v>149</v>
      </c>
      <c r="B175" s="327"/>
      <c r="C175" s="328"/>
      <c r="D175" s="320"/>
      <c r="E175" s="320"/>
      <c r="F175" s="268"/>
      <c r="G175" s="269"/>
      <c r="H175" s="540"/>
      <c r="I175" s="196"/>
      <c r="J175" s="196"/>
      <c r="K175" s="196"/>
      <c r="L175" s="196"/>
      <c r="M175" s="196"/>
      <c r="N175" s="196"/>
      <c r="O175" s="196"/>
      <c r="P175" s="173"/>
      <c r="U175" s="465"/>
      <c r="V175" s="465"/>
      <c r="W175" s="465"/>
    </row>
    <row r="176" spans="1:48" s="163" customFormat="1" x14ac:dyDescent="0.3">
      <c r="A176" s="343" t="s">
        <v>150</v>
      </c>
      <c r="B176" s="344"/>
      <c r="C176" s="345"/>
      <c r="D176" s="346"/>
      <c r="E176" s="346"/>
      <c r="F176" s="268"/>
      <c r="G176" s="269"/>
      <c r="H176" s="540"/>
      <c r="I176" s="196"/>
      <c r="J176" s="196"/>
      <c r="K176" s="196"/>
      <c r="L176" s="196"/>
      <c r="M176" s="196"/>
      <c r="N176" s="196"/>
      <c r="O176" s="196"/>
      <c r="P176" s="173"/>
      <c r="U176" s="465"/>
      <c r="V176" s="465"/>
      <c r="W176" s="465"/>
    </row>
    <row r="177" spans="1:23" s="163" customFormat="1" x14ac:dyDescent="0.3">
      <c r="A177" s="343" t="s">
        <v>142</v>
      </c>
      <c r="B177" s="344"/>
      <c r="C177" s="345"/>
      <c r="D177" s="346"/>
      <c r="E177" s="346"/>
      <c r="F177" s="268"/>
      <c r="G177" s="269"/>
      <c r="H177" s="540"/>
      <c r="I177" s="196"/>
      <c r="J177" s="196"/>
      <c r="K177" s="196"/>
      <c r="L177" s="196"/>
      <c r="M177" s="196"/>
      <c r="N177" s="196"/>
      <c r="O177" s="196"/>
      <c r="P177" s="173"/>
      <c r="U177" s="465"/>
      <c r="V177" s="465"/>
      <c r="W177" s="465"/>
    </row>
    <row r="178" spans="1:23" s="163" customFormat="1" x14ac:dyDescent="0.3">
      <c r="A178" s="343"/>
      <c r="B178" s="344"/>
      <c r="C178" s="345"/>
      <c r="D178" s="346"/>
      <c r="E178" s="346"/>
      <c r="F178" s="268"/>
      <c r="G178" s="269"/>
      <c r="H178" s="540"/>
      <c r="I178" s="196"/>
      <c r="J178" s="196"/>
      <c r="K178" s="196"/>
      <c r="L178" s="196"/>
      <c r="M178" s="196"/>
      <c r="N178" s="196"/>
      <c r="O178" s="196"/>
      <c r="P178" s="173"/>
      <c r="U178" s="465"/>
      <c r="V178" s="465"/>
      <c r="W178" s="465"/>
    </row>
    <row r="179" spans="1:23" s="163" customFormat="1" ht="15" thickBot="1" x14ac:dyDescent="0.35">
      <c r="A179" s="329"/>
      <c r="B179" s="330"/>
      <c r="C179" s="331"/>
      <c r="D179" s="321"/>
      <c r="E179" s="321"/>
      <c r="F179" s="268"/>
      <c r="G179" s="269"/>
      <c r="H179" s="540"/>
      <c r="I179" s="196"/>
      <c r="J179" s="196"/>
      <c r="K179" s="196"/>
      <c r="L179" s="196"/>
      <c r="M179" s="196"/>
      <c r="N179" s="196"/>
      <c r="O179" s="196"/>
      <c r="P179" s="173"/>
      <c r="U179" s="465"/>
      <c r="V179" s="465"/>
      <c r="W179" s="465"/>
    </row>
    <row r="180" spans="1:23" ht="15" thickBot="1" x14ac:dyDescent="0.35"/>
    <row r="181" spans="1:23" ht="15" thickBot="1" x14ac:dyDescent="0.35">
      <c r="A181" s="352" t="s">
        <v>205</v>
      </c>
      <c r="B181" s="353"/>
      <c r="C181" s="353"/>
      <c r="D181" s="353"/>
      <c r="E181" s="354"/>
      <c r="F181" s="424"/>
    </row>
    <row r="182" spans="1:23" ht="15" thickBot="1" x14ac:dyDescent="0.35">
      <c r="A182" s="352" t="s">
        <v>143</v>
      </c>
      <c r="B182" s="353"/>
      <c r="C182" s="354"/>
      <c r="D182" s="355" t="s">
        <v>126</v>
      </c>
      <c r="E182" s="355" t="s">
        <v>144</v>
      </c>
    </row>
    <row r="183" spans="1:23" x14ac:dyDescent="0.3">
      <c r="A183" s="332" t="s">
        <v>187</v>
      </c>
      <c r="B183" s="333"/>
      <c r="C183" s="334"/>
      <c r="D183" s="335"/>
      <c r="E183" s="335"/>
    </row>
    <row r="184" spans="1:23" x14ac:dyDescent="0.3">
      <c r="A184" s="326" t="s">
        <v>149</v>
      </c>
      <c r="B184" s="327"/>
      <c r="C184" s="328"/>
      <c r="D184" s="320"/>
      <c r="E184" s="320"/>
    </row>
    <row r="185" spans="1:23" x14ac:dyDescent="0.3">
      <c r="A185" s="343" t="s">
        <v>151</v>
      </c>
      <c r="B185" s="344"/>
      <c r="C185" s="345"/>
      <c r="D185" s="346"/>
      <c r="E185" s="346"/>
    </row>
    <row r="186" spans="1:23" ht="15" thickBot="1" x14ac:dyDescent="0.35">
      <c r="A186" s="329"/>
      <c r="B186" s="330"/>
      <c r="C186" s="331"/>
      <c r="D186" s="321"/>
      <c r="E186" s="321"/>
    </row>
    <row r="188" spans="1:23" s="163" customFormat="1" ht="46.8" x14ac:dyDescent="0.3">
      <c r="A188" s="182" t="s">
        <v>206</v>
      </c>
      <c r="B188" s="182" t="s">
        <v>35</v>
      </c>
      <c r="C188" s="182" t="s">
        <v>189</v>
      </c>
      <c r="D188" s="182" t="s">
        <v>207</v>
      </c>
      <c r="E188" s="182" t="s">
        <v>152</v>
      </c>
      <c r="F188" s="182" t="s">
        <v>193</v>
      </c>
      <c r="G188" s="271" t="s">
        <v>97</v>
      </c>
      <c r="H188" s="541" t="s">
        <v>5</v>
      </c>
      <c r="I188" s="271" t="s">
        <v>145</v>
      </c>
      <c r="J188" s="271" t="s">
        <v>190</v>
      </c>
      <c r="K188" s="271" t="s">
        <v>209</v>
      </c>
      <c r="L188" s="271" t="s">
        <v>153</v>
      </c>
      <c r="M188" s="271" t="s">
        <v>191</v>
      </c>
      <c r="N188" s="271"/>
      <c r="O188" s="271"/>
      <c r="P188" s="271"/>
      <c r="Q188" s="271" t="s">
        <v>192</v>
      </c>
      <c r="U188" s="465"/>
      <c r="V188" s="465"/>
      <c r="W188" s="465"/>
    </row>
    <row r="189" spans="1:23" s="312" customFormat="1" x14ac:dyDescent="0.3">
      <c r="A189" s="338">
        <v>1</v>
      </c>
      <c r="B189" s="338"/>
      <c r="C189" s="338"/>
      <c r="D189" s="341"/>
      <c r="E189" s="338"/>
      <c r="F189" s="338"/>
      <c r="G189" s="338"/>
      <c r="H189" s="542"/>
      <c r="I189" s="339"/>
      <c r="J189" s="339"/>
      <c r="K189" s="338"/>
      <c r="L189" s="349"/>
      <c r="O189" s="338"/>
      <c r="P189" s="338"/>
      <c r="Q189" s="338"/>
      <c r="U189" s="470"/>
      <c r="V189" s="470"/>
      <c r="W189" s="470"/>
    </row>
    <row r="190" spans="1:23" s="312" customFormat="1" x14ac:dyDescent="0.3">
      <c r="A190" s="338">
        <v>2</v>
      </c>
      <c r="B190" s="338"/>
      <c r="C190" s="338"/>
      <c r="D190" s="341"/>
      <c r="E190" s="338"/>
      <c r="F190" s="338"/>
      <c r="G190" s="338"/>
      <c r="H190" s="542"/>
      <c r="I190" s="339"/>
      <c r="J190" s="339"/>
      <c r="K190" s="338"/>
      <c r="L190" s="349"/>
      <c r="M190" s="338"/>
      <c r="N190" s="338"/>
      <c r="O190" s="338"/>
      <c r="P190" s="338"/>
      <c r="Q190" s="338"/>
      <c r="U190" s="470"/>
      <c r="V190" s="470"/>
      <c r="W190" s="470"/>
    </row>
    <row r="191" spans="1:23" s="312" customFormat="1" x14ac:dyDescent="0.3">
      <c r="A191" s="338">
        <v>3</v>
      </c>
      <c r="B191" s="338"/>
      <c r="C191" s="338"/>
      <c r="D191" s="341"/>
      <c r="E191" s="338"/>
      <c r="F191" s="338"/>
      <c r="G191" s="338"/>
      <c r="H191" s="542"/>
      <c r="I191" s="339"/>
      <c r="J191" s="339"/>
      <c r="K191" s="338"/>
      <c r="L191" s="342"/>
      <c r="M191" s="338"/>
      <c r="N191" s="338"/>
      <c r="O191" s="338"/>
      <c r="P191" s="338"/>
      <c r="Q191" s="338"/>
      <c r="U191" s="470"/>
      <c r="V191" s="470"/>
      <c r="W191" s="470"/>
    </row>
    <row r="192" spans="1:23" s="312" customFormat="1" x14ac:dyDescent="0.3">
      <c r="A192" s="338">
        <v>4</v>
      </c>
      <c r="B192" s="338"/>
      <c r="C192" s="338"/>
      <c r="D192" s="341"/>
      <c r="E192" s="338"/>
      <c r="F192" s="338"/>
      <c r="G192" s="338"/>
      <c r="H192" s="542"/>
      <c r="I192" s="339"/>
      <c r="J192" s="339"/>
      <c r="K192" s="338"/>
      <c r="L192" s="342"/>
      <c r="M192" s="338"/>
      <c r="N192" s="338"/>
      <c r="O192" s="338"/>
      <c r="P192" s="338"/>
      <c r="Q192" s="338"/>
      <c r="U192" s="470"/>
      <c r="V192" s="470"/>
      <c r="W192" s="470"/>
    </row>
    <row r="193" spans="1:23" s="312" customFormat="1" x14ac:dyDescent="0.3">
      <c r="A193" s="338">
        <v>5</v>
      </c>
      <c r="B193" s="338"/>
      <c r="C193" s="338"/>
      <c r="D193" s="341"/>
      <c r="E193" s="338"/>
      <c r="F193" s="338"/>
      <c r="G193" s="338"/>
      <c r="H193" s="542"/>
      <c r="I193" s="339"/>
      <c r="J193" s="339"/>
      <c r="K193" s="338"/>
      <c r="L193" s="342"/>
      <c r="M193" s="338"/>
      <c r="N193" s="338"/>
      <c r="O193" s="338"/>
      <c r="P193" s="338"/>
      <c r="Q193" s="338"/>
      <c r="U193" s="470"/>
      <c r="V193" s="470"/>
      <c r="W193" s="470"/>
    </row>
    <row r="194" spans="1:23" s="312" customFormat="1" x14ac:dyDescent="0.3">
      <c r="A194" s="338">
        <v>6</v>
      </c>
      <c r="B194" s="338"/>
      <c r="C194" s="338"/>
      <c r="D194" s="341"/>
      <c r="E194" s="338"/>
      <c r="F194" s="338"/>
      <c r="G194" s="338"/>
      <c r="H194" s="542"/>
      <c r="I194" s="339"/>
      <c r="J194" s="339"/>
      <c r="K194" s="338"/>
      <c r="L194" s="342"/>
      <c r="M194" s="338"/>
      <c r="N194" s="338"/>
      <c r="O194" s="338"/>
      <c r="P194" s="338"/>
      <c r="Q194" s="347"/>
      <c r="U194" s="470"/>
      <c r="V194" s="470"/>
      <c r="W194" s="470"/>
    </row>
    <row r="195" spans="1:23" s="312" customFormat="1" x14ac:dyDescent="0.3">
      <c r="A195" s="338">
        <v>7</v>
      </c>
      <c r="B195" s="338"/>
      <c r="C195" s="338"/>
      <c r="D195" s="341"/>
      <c r="E195" s="338"/>
      <c r="F195" s="338"/>
      <c r="G195" s="338"/>
      <c r="H195" s="542"/>
      <c r="I195" s="339"/>
      <c r="J195" s="339"/>
      <c r="K195" s="338"/>
      <c r="L195" s="342"/>
      <c r="M195" s="338"/>
      <c r="N195" s="338"/>
      <c r="O195" s="338"/>
      <c r="P195" s="338"/>
      <c r="Q195" s="338"/>
      <c r="U195" s="470"/>
      <c r="V195" s="470"/>
      <c r="W195" s="470"/>
    </row>
    <row r="196" spans="1:23" s="312" customFormat="1" x14ac:dyDescent="0.3">
      <c r="A196" s="338">
        <v>8</v>
      </c>
      <c r="B196" s="338"/>
      <c r="C196" s="338"/>
      <c r="D196" s="341"/>
      <c r="E196" s="338"/>
      <c r="F196" s="338"/>
      <c r="G196" s="338"/>
      <c r="H196" s="542"/>
      <c r="I196" s="339"/>
      <c r="J196" s="339"/>
      <c r="K196" s="338"/>
      <c r="L196" s="342"/>
      <c r="M196" s="338"/>
      <c r="N196" s="338"/>
      <c r="O196" s="338"/>
      <c r="P196" s="338"/>
      <c r="Q196" s="338"/>
      <c r="U196" s="470"/>
      <c r="V196" s="470"/>
      <c r="W196" s="470"/>
    </row>
    <row r="197" spans="1:23" s="312" customFormat="1" x14ac:dyDescent="0.3">
      <c r="A197" s="338">
        <v>9</v>
      </c>
      <c r="B197" s="338"/>
      <c r="C197" s="338"/>
      <c r="D197" s="341"/>
      <c r="E197" s="338"/>
      <c r="F197" s="338"/>
      <c r="G197" s="338"/>
      <c r="H197" s="542"/>
      <c r="I197" s="339"/>
      <c r="J197" s="339"/>
      <c r="K197" s="338"/>
      <c r="L197" s="342"/>
      <c r="M197" s="338"/>
      <c r="N197" s="338"/>
      <c r="O197" s="338"/>
      <c r="P197" s="338"/>
      <c r="Q197" s="338"/>
      <c r="U197" s="470"/>
      <c r="V197" s="470"/>
      <c r="W197" s="470"/>
    </row>
    <row r="198" spans="1:23" s="312" customFormat="1" x14ac:dyDescent="0.3">
      <c r="A198" s="338">
        <v>10</v>
      </c>
      <c r="B198" s="338"/>
      <c r="C198" s="338"/>
      <c r="D198" s="341"/>
      <c r="E198" s="338"/>
      <c r="F198" s="338"/>
      <c r="G198" s="338"/>
      <c r="H198" s="542"/>
      <c r="I198" s="339"/>
      <c r="J198" s="339"/>
      <c r="K198" s="338"/>
      <c r="L198" s="342"/>
      <c r="M198" s="338"/>
      <c r="N198" s="338"/>
      <c r="O198" s="338"/>
      <c r="P198" s="338"/>
      <c r="Q198" s="338"/>
      <c r="U198" s="470"/>
      <c r="V198" s="470"/>
      <c r="W198" s="470"/>
    </row>
    <row r="199" spans="1:23" s="312" customFormat="1" x14ac:dyDescent="0.3">
      <c r="A199" s="338">
        <v>11</v>
      </c>
      <c r="B199" s="338"/>
      <c r="C199" s="338"/>
      <c r="D199" s="341"/>
      <c r="E199" s="338"/>
      <c r="F199" s="338"/>
      <c r="G199" s="338"/>
      <c r="H199" s="542"/>
      <c r="I199" s="339"/>
      <c r="J199" s="339"/>
      <c r="K199" s="338"/>
      <c r="L199" s="342"/>
      <c r="M199" s="338"/>
      <c r="N199" s="338"/>
      <c r="O199" s="338"/>
      <c r="P199" s="338"/>
      <c r="Q199" s="338"/>
      <c r="U199" s="470"/>
      <c r="V199" s="470"/>
      <c r="W199" s="470"/>
    </row>
    <row r="200" spans="1:23" s="312" customFormat="1" x14ac:dyDescent="0.3">
      <c r="A200" s="338">
        <v>12</v>
      </c>
      <c r="B200" s="338"/>
      <c r="C200" s="338"/>
      <c r="D200" s="341"/>
      <c r="E200" s="338"/>
      <c r="F200" s="338"/>
      <c r="G200" s="338"/>
      <c r="H200" s="542"/>
      <c r="I200" s="339"/>
      <c r="J200" s="339"/>
      <c r="K200" s="338"/>
      <c r="L200" s="342"/>
      <c r="M200" s="338"/>
      <c r="N200" s="338"/>
      <c r="O200" s="338"/>
      <c r="P200" s="338"/>
      <c r="Q200" s="338"/>
      <c r="U200" s="470"/>
      <c r="V200" s="470"/>
      <c r="W200" s="470"/>
    </row>
    <row r="201" spans="1:23" s="312" customFormat="1" x14ac:dyDescent="0.3">
      <c r="A201" s="338">
        <v>13</v>
      </c>
      <c r="B201" s="338"/>
      <c r="C201" s="338"/>
      <c r="D201" s="341"/>
      <c r="E201" s="338"/>
      <c r="F201" s="338"/>
      <c r="G201" s="338"/>
      <c r="H201" s="542"/>
      <c r="I201" s="339"/>
      <c r="J201" s="339"/>
      <c r="K201" s="338"/>
      <c r="L201" s="342"/>
      <c r="M201" s="338"/>
      <c r="N201" s="338"/>
      <c r="O201" s="338"/>
      <c r="P201" s="338"/>
      <c r="Q201" s="338"/>
      <c r="U201" s="470"/>
      <c r="V201" s="470"/>
      <c r="W201" s="470"/>
    </row>
    <row r="202" spans="1:23" s="312" customFormat="1" x14ac:dyDescent="0.3">
      <c r="A202" s="338">
        <v>14</v>
      </c>
      <c r="B202" s="338"/>
      <c r="C202" s="338"/>
      <c r="D202" s="341"/>
      <c r="E202" s="338"/>
      <c r="F202" s="338"/>
      <c r="G202" s="338"/>
      <c r="H202" s="542"/>
      <c r="I202" s="339"/>
      <c r="J202" s="339"/>
      <c r="K202" s="338"/>
      <c r="L202" s="342"/>
      <c r="M202" s="338"/>
      <c r="N202" s="338"/>
      <c r="O202" s="338"/>
      <c r="P202" s="338"/>
      <c r="Q202" s="347"/>
      <c r="U202" s="470"/>
      <c r="V202" s="470"/>
      <c r="W202" s="470"/>
    </row>
    <row r="203" spans="1:23" s="312" customFormat="1" x14ac:dyDescent="0.3">
      <c r="A203" s="338"/>
      <c r="B203" s="338"/>
      <c r="C203" s="338"/>
      <c r="D203" s="341"/>
      <c r="E203" s="338"/>
      <c r="F203" s="338"/>
      <c r="G203" s="338"/>
      <c r="H203" s="542"/>
      <c r="I203" s="339"/>
      <c r="J203" s="339"/>
      <c r="K203" s="338"/>
      <c r="L203" s="342"/>
      <c r="M203" s="338"/>
      <c r="N203" s="338"/>
      <c r="O203" s="338"/>
      <c r="P203" s="338"/>
      <c r="Q203" s="347"/>
      <c r="U203" s="470"/>
      <c r="V203" s="470"/>
      <c r="W203" s="470"/>
    </row>
    <row r="204" spans="1:23" s="312" customFormat="1" x14ac:dyDescent="0.3">
      <c r="A204" s="338"/>
      <c r="B204" s="338"/>
      <c r="C204" s="338"/>
      <c r="D204" s="338"/>
      <c r="E204" s="338"/>
      <c r="F204" s="338"/>
      <c r="G204" s="338"/>
      <c r="H204" s="544"/>
      <c r="I204" s="348"/>
      <c r="J204" s="348" t="s">
        <v>210</v>
      </c>
      <c r="K204" s="338">
        <f>SUM(K189:K197)</f>
        <v>0</v>
      </c>
      <c r="L204" s="338"/>
      <c r="M204" s="338"/>
      <c r="N204" s="338"/>
      <c r="O204" s="338"/>
      <c r="P204" s="338"/>
      <c r="U204" s="470"/>
      <c r="V204" s="470"/>
      <c r="W204" s="470"/>
    </row>
    <row r="205" spans="1:23" ht="15" thickBot="1" x14ac:dyDescent="0.35"/>
    <row r="206" spans="1:23" ht="15" thickBot="1" x14ac:dyDescent="0.35">
      <c r="A206" s="352" t="s">
        <v>303</v>
      </c>
      <c r="B206" s="353"/>
      <c r="C206" s="353"/>
      <c r="D206" s="353"/>
      <c r="E206" s="354"/>
    </row>
    <row r="207" spans="1:23" ht="15" thickBot="1" x14ac:dyDescent="0.35">
      <c r="A207" s="352" t="s">
        <v>143</v>
      </c>
      <c r="B207" s="353"/>
      <c r="C207" s="354"/>
      <c r="D207" s="355" t="s">
        <v>126</v>
      </c>
      <c r="E207" s="355" t="s">
        <v>144</v>
      </c>
    </row>
    <row r="208" spans="1:23" x14ac:dyDescent="0.3">
      <c r="A208" s="332" t="s">
        <v>187</v>
      </c>
      <c r="B208" s="333"/>
      <c r="C208" s="334"/>
      <c r="D208" s="335"/>
      <c r="E208" s="335"/>
    </row>
    <row r="209" spans="1:23" x14ac:dyDescent="0.3">
      <c r="A209" s="326" t="s">
        <v>149</v>
      </c>
      <c r="B209" s="327"/>
      <c r="C209" s="328"/>
      <c r="D209" s="320"/>
      <c r="E209" s="320"/>
    </row>
    <row r="210" spans="1:23" x14ac:dyDescent="0.3">
      <c r="A210" s="343" t="s">
        <v>151</v>
      </c>
      <c r="B210" s="344"/>
      <c r="C210" s="345"/>
      <c r="D210" s="346"/>
      <c r="E210" s="346"/>
    </row>
    <row r="211" spans="1:23" ht="15" thickBot="1" x14ac:dyDescent="0.35">
      <c r="A211" s="329" t="s">
        <v>142</v>
      </c>
      <c r="B211" s="330"/>
      <c r="C211" s="331"/>
      <c r="D211" s="321"/>
      <c r="E211" s="321"/>
    </row>
    <row r="213" spans="1:23" s="163" customFormat="1" ht="46.8" x14ac:dyDescent="0.3">
      <c r="A213" s="182" t="s">
        <v>206</v>
      </c>
      <c r="B213" s="182" t="s">
        <v>35</v>
      </c>
      <c r="C213" s="182" t="s">
        <v>189</v>
      </c>
      <c r="D213" s="182" t="s">
        <v>207</v>
      </c>
      <c r="E213" s="182" t="s">
        <v>194</v>
      </c>
      <c r="F213" s="182" t="s">
        <v>154</v>
      </c>
      <c r="G213" s="271" t="s">
        <v>97</v>
      </c>
      <c r="H213" s="541" t="s">
        <v>5</v>
      </c>
      <c r="I213" s="271" t="s">
        <v>145</v>
      </c>
      <c r="J213" s="271" t="s">
        <v>190</v>
      </c>
      <c r="K213" s="271" t="s">
        <v>211</v>
      </c>
      <c r="L213" s="271" t="s">
        <v>153</v>
      </c>
      <c r="M213" s="271" t="s">
        <v>191</v>
      </c>
      <c r="N213" s="271"/>
      <c r="O213" s="271"/>
      <c r="P213" s="271"/>
      <c r="Q213" s="271" t="s">
        <v>192</v>
      </c>
      <c r="U213" s="465"/>
      <c r="V213" s="465"/>
      <c r="W213" s="465"/>
    </row>
    <row r="214" spans="1:23" s="312" customFormat="1" x14ac:dyDescent="0.3">
      <c r="A214" s="338">
        <v>1</v>
      </c>
      <c r="B214" s="338"/>
      <c r="C214" s="338"/>
      <c r="D214" s="349"/>
      <c r="E214" s="338"/>
      <c r="F214" s="338"/>
      <c r="G214" s="338"/>
      <c r="H214" s="542"/>
      <c r="I214" s="339"/>
      <c r="J214" s="339"/>
      <c r="K214" s="338"/>
      <c r="L214" s="349"/>
      <c r="O214" s="338"/>
      <c r="P214" s="338"/>
      <c r="Q214" s="338"/>
      <c r="U214" s="470"/>
      <c r="V214" s="470"/>
      <c r="W214" s="470"/>
    </row>
    <row r="215" spans="1:23" s="312" customFormat="1" x14ac:dyDescent="0.3">
      <c r="A215" s="338"/>
      <c r="B215" s="338"/>
      <c r="C215" s="338"/>
      <c r="D215" s="349"/>
      <c r="E215" s="338"/>
      <c r="F215" s="338"/>
      <c r="G215" s="338"/>
      <c r="H215" s="542"/>
      <c r="I215" s="339"/>
      <c r="J215" s="339"/>
      <c r="K215" s="338"/>
      <c r="L215" s="349"/>
      <c r="M215" s="338"/>
      <c r="N215" s="338"/>
      <c r="O215" s="338"/>
      <c r="P215" s="338"/>
      <c r="Q215" s="338"/>
      <c r="U215" s="470"/>
      <c r="V215" s="470"/>
      <c r="W215" s="470"/>
    </row>
    <row r="216" spans="1:23" s="312" customFormat="1" x14ac:dyDescent="0.3">
      <c r="A216" s="338"/>
      <c r="B216" s="338"/>
      <c r="C216" s="338"/>
      <c r="D216" s="349"/>
      <c r="E216" s="338"/>
      <c r="F216" s="338"/>
      <c r="G216" s="338"/>
      <c r="H216" s="542"/>
      <c r="I216" s="339"/>
      <c r="J216" s="339"/>
      <c r="K216" s="338"/>
      <c r="L216" s="349"/>
      <c r="M216" s="338"/>
      <c r="N216" s="338"/>
      <c r="O216" s="338"/>
      <c r="P216" s="338"/>
      <c r="Q216" s="347"/>
      <c r="U216" s="470"/>
      <c r="V216" s="470"/>
      <c r="W216" s="470"/>
    </row>
    <row r="217" spans="1:23" s="312" customFormat="1" x14ac:dyDescent="0.3">
      <c r="A217" s="338"/>
      <c r="B217" s="338"/>
      <c r="C217" s="338"/>
      <c r="D217" s="338"/>
      <c r="E217" s="338"/>
      <c r="F217" s="338"/>
      <c r="G217" s="338"/>
      <c r="H217" s="544"/>
      <c r="I217" s="348"/>
      <c r="J217" s="348" t="s">
        <v>210</v>
      </c>
      <c r="K217" s="338">
        <f>SUM(K214:K216)</f>
        <v>0</v>
      </c>
      <c r="L217" s="338"/>
      <c r="M217" s="338"/>
      <c r="N217" s="338"/>
      <c r="O217" s="338"/>
      <c r="P217" s="338"/>
      <c r="U217" s="470"/>
      <c r="V217" s="470"/>
      <c r="W217" s="470"/>
    </row>
    <row r="218" spans="1:23" ht="15" thickBot="1" x14ac:dyDescent="0.35"/>
    <row r="219" spans="1:23" ht="15" thickBot="1" x14ac:dyDescent="0.35">
      <c r="A219" s="352" t="s">
        <v>306</v>
      </c>
      <c r="B219" s="353"/>
      <c r="C219" s="353"/>
      <c r="D219" s="353"/>
      <c r="E219" s="354"/>
    </row>
    <row r="220" spans="1:23" ht="15" thickBot="1" x14ac:dyDescent="0.35">
      <c r="A220" s="352" t="s">
        <v>143</v>
      </c>
      <c r="B220" s="353"/>
      <c r="C220" s="354"/>
      <c r="D220" s="355" t="s">
        <v>126</v>
      </c>
      <c r="E220" s="355" t="s">
        <v>144</v>
      </c>
    </row>
    <row r="221" spans="1:23" x14ac:dyDescent="0.3">
      <c r="A221" s="332" t="s">
        <v>187</v>
      </c>
      <c r="B221" s="333"/>
      <c r="C221" s="334"/>
      <c r="D221" s="335"/>
      <c r="E221" s="335"/>
    </row>
    <row r="222" spans="1:23" x14ac:dyDescent="0.3">
      <c r="A222" s="326" t="s">
        <v>149</v>
      </c>
      <c r="B222" s="327"/>
      <c r="C222" s="328"/>
      <c r="D222" s="320"/>
      <c r="E222" s="320"/>
    </row>
    <row r="223" spans="1:23" x14ac:dyDescent="0.3">
      <c r="A223" s="343" t="s">
        <v>151</v>
      </c>
      <c r="B223" s="344"/>
      <c r="C223" s="345"/>
      <c r="D223" s="346"/>
      <c r="E223" s="346"/>
    </row>
    <row r="224" spans="1:23" x14ac:dyDescent="0.3">
      <c r="A224" s="343" t="s">
        <v>142</v>
      </c>
      <c r="B224" s="344"/>
      <c r="C224" s="345"/>
      <c r="D224" s="346"/>
      <c r="E224" s="346"/>
    </row>
    <row r="225" spans="1:23" ht="15" thickBot="1" x14ac:dyDescent="0.35">
      <c r="A225" s="329" t="s">
        <v>125</v>
      </c>
      <c r="B225" s="330"/>
      <c r="C225" s="331"/>
      <c r="D225" s="321"/>
      <c r="E225" s="321"/>
    </row>
    <row r="227" spans="1:23" s="163" customFormat="1" ht="46.8" x14ac:dyDescent="0.3">
      <c r="A227" s="182" t="s">
        <v>206</v>
      </c>
      <c r="B227" s="182" t="s">
        <v>35</v>
      </c>
      <c r="C227" s="182" t="s">
        <v>189</v>
      </c>
      <c r="D227" s="182" t="s">
        <v>207</v>
      </c>
      <c r="E227" s="182" t="s">
        <v>96</v>
      </c>
      <c r="F227" s="182" t="s">
        <v>16</v>
      </c>
      <c r="G227" s="271" t="s">
        <v>97</v>
      </c>
      <c r="H227" s="541" t="s">
        <v>5</v>
      </c>
      <c r="I227" s="271" t="s">
        <v>145</v>
      </c>
      <c r="J227" s="271" t="s">
        <v>190</v>
      </c>
      <c r="K227" s="271" t="s">
        <v>211</v>
      </c>
      <c r="L227" s="271" t="s">
        <v>153</v>
      </c>
      <c r="M227" s="271" t="s">
        <v>191</v>
      </c>
      <c r="N227" s="271" t="s">
        <v>212</v>
      </c>
      <c r="O227" s="271"/>
      <c r="P227" s="271"/>
      <c r="Q227" s="271" t="s">
        <v>192</v>
      </c>
      <c r="U227" s="465"/>
      <c r="V227" s="465"/>
      <c r="W227" s="465"/>
    </row>
    <row r="228" spans="1:23" s="312" customFormat="1" x14ac:dyDescent="0.3">
      <c r="A228" s="338">
        <v>1</v>
      </c>
      <c r="B228" s="338"/>
      <c r="C228" s="338"/>
      <c r="D228" s="341"/>
      <c r="E228" s="338"/>
      <c r="F228" s="338"/>
      <c r="G228" s="338"/>
      <c r="H228" s="542"/>
      <c r="I228" s="339"/>
      <c r="J228" s="339"/>
      <c r="K228" s="338"/>
      <c r="L228" s="342"/>
      <c r="O228" s="338"/>
      <c r="P228" s="338"/>
      <c r="Q228" s="338"/>
      <c r="U228" s="470"/>
      <c r="V228" s="470"/>
      <c r="W228" s="470"/>
    </row>
    <row r="229" spans="1:23" s="312" customFormat="1" x14ac:dyDescent="0.3">
      <c r="A229" s="338">
        <v>2</v>
      </c>
      <c r="B229" s="338"/>
      <c r="C229" s="338"/>
      <c r="D229" s="341"/>
      <c r="E229" s="338"/>
      <c r="F229" s="338"/>
      <c r="G229" s="338"/>
      <c r="H229" s="542"/>
      <c r="I229" s="339"/>
      <c r="J229" s="339"/>
      <c r="K229" s="338"/>
      <c r="L229" s="342"/>
      <c r="M229" s="338"/>
      <c r="N229" s="338"/>
      <c r="O229" s="338"/>
      <c r="P229" s="338"/>
      <c r="Q229" s="338"/>
      <c r="U229" s="470"/>
      <c r="V229" s="470"/>
      <c r="W229" s="470"/>
    </row>
    <row r="230" spans="1:23" s="312" customFormat="1" x14ac:dyDescent="0.3">
      <c r="A230" s="338">
        <v>3</v>
      </c>
      <c r="B230" s="338"/>
      <c r="C230" s="338"/>
      <c r="D230" s="341"/>
      <c r="E230" s="338"/>
      <c r="F230" s="338"/>
      <c r="G230" s="338"/>
      <c r="H230" s="542"/>
      <c r="I230" s="339"/>
      <c r="J230" s="339"/>
      <c r="K230" s="338"/>
      <c r="L230" s="342"/>
      <c r="M230" s="338"/>
      <c r="N230" s="338"/>
      <c r="O230" s="338"/>
      <c r="P230" s="338"/>
      <c r="Q230" s="338"/>
      <c r="U230" s="470"/>
      <c r="V230" s="470"/>
      <c r="W230" s="470"/>
    </row>
    <row r="231" spans="1:23" s="312" customFormat="1" x14ac:dyDescent="0.3">
      <c r="A231" s="338">
        <v>4</v>
      </c>
      <c r="B231" s="338"/>
      <c r="C231" s="338"/>
      <c r="D231" s="341"/>
      <c r="E231" s="338"/>
      <c r="F231" s="338"/>
      <c r="G231" s="338"/>
      <c r="H231" s="542"/>
      <c r="I231" s="339"/>
      <c r="J231" s="339"/>
      <c r="K231" s="338"/>
      <c r="L231" s="342"/>
      <c r="M231" s="338"/>
      <c r="N231" s="338"/>
      <c r="O231" s="338"/>
      <c r="P231" s="338"/>
      <c r="Q231" s="347"/>
      <c r="U231" s="470"/>
      <c r="V231" s="470"/>
      <c r="W231" s="470"/>
    </row>
    <row r="232" spans="1:23" s="312" customFormat="1" x14ac:dyDescent="0.3">
      <c r="A232" s="338">
        <v>5</v>
      </c>
      <c r="B232" s="338"/>
      <c r="C232" s="338"/>
      <c r="D232" s="341"/>
      <c r="E232" s="338"/>
      <c r="F232" s="338"/>
      <c r="G232" s="338"/>
      <c r="H232" s="542"/>
      <c r="I232" s="339"/>
      <c r="J232" s="339"/>
      <c r="K232" s="338"/>
      <c r="L232" s="342"/>
      <c r="M232" s="338"/>
      <c r="N232" s="338"/>
      <c r="O232" s="338"/>
      <c r="P232" s="338"/>
      <c r="Q232" s="347"/>
      <c r="U232" s="470"/>
      <c r="V232" s="470"/>
      <c r="W232" s="470"/>
    </row>
    <row r="233" spans="1:23" s="312" customFormat="1" x14ac:dyDescent="0.3">
      <c r="A233" s="338"/>
      <c r="B233" s="338"/>
      <c r="C233" s="338"/>
      <c r="D233" s="338"/>
      <c r="E233" s="338"/>
      <c r="F233" s="338"/>
      <c r="G233" s="338"/>
      <c r="H233" s="544"/>
      <c r="I233" s="348"/>
      <c r="J233" s="348" t="s">
        <v>210</v>
      </c>
      <c r="K233" s="338">
        <f>SUM(K228:K232)</f>
        <v>0</v>
      </c>
      <c r="L233" s="338"/>
      <c r="M233" s="338"/>
      <c r="N233" s="338"/>
      <c r="O233" s="338"/>
      <c r="P233" s="338"/>
      <c r="U233" s="470"/>
      <c r="V233" s="470"/>
      <c r="W233" s="470"/>
    </row>
    <row r="234" spans="1:23" ht="15" thickBot="1" x14ac:dyDescent="0.35"/>
    <row r="235" spans="1:23" ht="15" thickBot="1" x14ac:dyDescent="0.35">
      <c r="A235" s="352" t="s">
        <v>304</v>
      </c>
      <c r="B235" s="353"/>
      <c r="C235" s="353"/>
      <c r="D235" s="353"/>
      <c r="E235" s="354"/>
    </row>
    <row r="236" spans="1:23" ht="15" thickBot="1" x14ac:dyDescent="0.35">
      <c r="A236" s="352" t="s">
        <v>143</v>
      </c>
      <c r="B236" s="353"/>
      <c r="C236" s="354"/>
      <c r="D236" s="355" t="s">
        <v>126</v>
      </c>
      <c r="E236" s="355" t="s">
        <v>144</v>
      </c>
    </row>
    <row r="237" spans="1:23" x14ac:dyDescent="0.3">
      <c r="A237" s="332" t="s">
        <v>187</v>
      </c>
      <c r="B237" s="333"/>
      <c r="C237" s="334"/>
      <c r="D237" s="335"/>
      <c r="E237" s="335"/>
    </row>
    <row r="238" spans="1:23" x14ac:dyDescent="0.3">
      <c r="A238" s="326" t="s">
        <v>155</v>
      </c>
      <c r="B238" s="327"/>
      <c r="C238" s="328"/>
      <c r="D238" s="320"/>
      <c r="E238" s="320"/>
    </row>
    <row r="239" spans="1:23" x14ac:dyDescent="0.3">
      <c r="A239" s="343" t="s">
        <v>125</v>
      </c>
      <c r="B239" s="344"/>
      <c r="C239" s="345"/>
      <c r="D239" s="346"/>
      <c r="E239" s="346"/>
    </row>
    <row r="240" spans="1:23" x14ac:dyDescent="0.3">
      <c r="A240" s="343" t="s">
        <v>195</v>
      </c>
      <c r="B240" s="344"/>
      <c r="C240" s="345"/>
      <c r="D240" s="346"/>
      <c r="E240" s="346"/>
    </row>
    <row r="241" spans="1:6" ht="15" thickBot="1" x14ac:dyDescent="0.35">
      <c r="A241" s="329"/>
      <c r="B241" s="330"/>
      <c r="C241" s="331"/>
      <c r="D241" s="321"/>
      <c r="E241" s="321"/>
    </row>
    <row r="242" spans="1:6" ht="15" thickBot="1" x14ac:dyDescent="0.35"/>
    <row r="243" spans="1:6" ht="15" thickBot="1" x14ac:dyDescent="0.35">
      <c r="A243" s="352" t="s">
        <v>305</v>
      </c>
      <c r="B243" s="353"/>
      <c r="C243" s="353"/>
      <c r="D243" s="353"/>
      <c r="E243" s="354"/>
    </row>
    <row r="244" spans="1:6" ht="15" thickBot="1" x14ac:dyDescent="0.35">
      <c r="A244" s="352" t="s">
        <v>143</v>
      </c>
      <c r="B244" s="353"/>
      <c r="C244" s="354"/>
      <c r="D244" s="355" t="s">
        <v>126</v>
      </c>
      <c r="E244" s="355" t="s">
        <v>144</v>
      </c>
    </row>
    <row r="245" spans="1:6" x14ac:dyDescent="0.3">
      <c r="A245" s="332" t="s">
        <v>187</v>
      </c>
      <c r="B245" s="333"/>
      <c r="C245" s="334"/>
      <c r="D245" s="335"/>
      <c r="E245" s="335"/>
    </row>
    <row r="246" spans="1:6" x14ac:dyDescent="0.3">
      <c r="A246" s="326" t="s">
        <v>149</v>
      </c>
      <c r="B246" s="327"/>
      <c r="C246" s="328"/>
      <c r="D246" s="320"/>
      <c r="E246" s="320"/>
    </row>
    <row r="247" spans="1:6" x14ac:dyDescent="0.3">
      <c r="A247" s="343" t="s">
        <v>156</v>
      </c>
      <c r="B247" s="344"/>
      <c r="C247" s="345"/>
      <c r="D247" s="346"/>
      <c r="E247" s="346"/>
    </row>
    <row r="248" spans="1:6" x14ac:dyDescent="0.3">
      <c r="A248" s="343" t="s">
        <v>142</v>
      </c>
      <c r="B248" s="344"/>
      <c r="C248" s="345"/>
      <c r="D248" s="346"/>
      <c r="E248" s="346"/>
    </row>
    <row r="249" spans="1:6" ht="15" thickBot="1" x14ac:dyDescent="0.35">
      <c r="A249" s="329" t="s">
        <v>125</v>
      </c>
      <c r="B249" s="330"/>
      <c r="C249" s="331"/>
      <c r="D249" s="321"/>
      <c r="E249" s="321"/>
    </row>
    <row r="250" spans="1:6" ht="15" thickBot="1" x14ac:dyDescent="0.35"/>
    <row r="251" spans="1:6" ht="15" thickBot="1" x14ac:dyDescent="0.35">
      <c r="A251" s="352" t="s">
        <v>157</v>
      </c>
      <c r="B251" s="353"/>
      <c r="C251" s="353"/>
      <c r="D251" s="353"/>
      <c r="E251" s="354"/>
    </row>
    <row r="252" spans="1:6" ht="15" thickBot="1" x14ac:dyDescent="0.35">
      <c r="A252" s="352" t="s">
        <v>143</v>
      </c>
      <c r="B252" s="353"/>
      <c r="C252" s="354"/>
      <c r="D252" s="355" t="s">
        <v>126</v>
      </c>
      <c r="E252" s="355" t="s">
        <v>144</v>
      </c>
      <c r="F252" s="355" t="s">
        <v>36</v>
      </c>
    </row>
    <row r="253" spans="1:6" x14ac:dyDescent="0.3">
      <c r="A253" s="332" t="s">
        <v>158</v>
      </c>
      <c r="B253" s="333"/>
      <c r="C253" s="334"/>
      <c r="D253" s="335"/>
      <c r="E253" s="335"/>
      <c r="F253" s="366"/>
    </row>
    <row r="254" spans="1:6" x14ac:dyDescent="0.3">
      <c r="A254" s="332" t="s">
        <v>159</v>
      </c>
      <c r="B254" s="327"/>
      <c r="C254" s="328"/>
      <c r="D254" s="320"/>
      <c r="E254" s="320"/>
      <c r="F254" s="367"/>
    </row>
    <row r="255" spans="1:6" x14ac:dyDescent="0.3">
      <c r="A255" s="343" t="s">
        <v>196</v>
      </c>
      <c r="B255" s="344"/>
      <c r="C255" s="345"/>
      <c r="D255" s="346"/>
      <c r="E255" s="346"/>
      <c r="F255" s="368"/>
    </row>
    <row r="256" spans="1:6" x14ac:dyDescent="0.3">
      <c r="A256" s="343"/>
      <c r="B256" s="344"/>
      <c r="C256" s="345"/>
      <c r="D256" s="346"/>
      <c r="E256" s="346"/>
      <c r="F256" s="368"/>
    </row>
    <row r="257" spans="1:7" ht="15" thickBot="1" x14ac:dyDescent="0.35">
      <c r="A257" s="343"/>
      <c r="B257" s="344"/>
      <c r="C257" s="345"/>
      <c r="D257" s="346"/>
      <c r="E257" s="346"/>
      <c r="F257" s="368"/>
    </row>
    <row r="258" spans="1:7" ht="15" thickBot="1" x14ac:dyDescent="0.35">
      <c r="A258" s="336" t="s">
        <v>197</v>
      </c>
      <c r="B258" s="197"/>
      <c r="C258" s="197"/>
      <c r="D258" s="364"/>
      <c r="E258" s="365"/>
      <c r="F258" s="369"/>
    </row>
    <row r="259" spans="1:7" ht="15" thickBot="1" x14ac:dyDescent="0.35">
      <c r="A259" s="336" t="s">
        <v>198</v>
      </c>
      <c r="B259" s="197"/>
      <c r="C259" s="197"/>
      <c r="D259" s="364"/>
      <c r="E259" s="365"/>
      <c r="F259" s="369"/>
    </row>
    <row r="260" spans="1:7" x14ac:dyDescent="0.3">
      <c r="A260" s="361" t="s">
        <v>199</v>
      </c>
      <c r="B260" s="196"/>
      <c r="C260" s="362"/>
      <c r="D260" s="363"/>
      <c r="E260" s="363"/>
      <c r="F260" s="370"/>
    </row>
    <row r="261" spans="1:7" ht="15" thickBot="1" x14ac:dyDescent="0.35">
      <c r="A261" s="329"/>
      <c r="B261" s="330"/>
      <c r="C261" s="331"/>
      <c r="D261" s="321"/>
      <c r="E261" s="321"/>
      <c r="F261" s="321"/>
    </row>
    <row r="262" spans="1:7" ht="15" thickBot="1" x14ac:dyDescent="0.35"/>
    <row r="263" spans="1:7" ht="15" thickBot="1" x14ac:dyDescent="0.35">
      <c r="A263" s="352" t="s">
        <v>160</v>
      </c>
      <c r="B263" s="353"/>
      <c r="C263" s="353"/>
      <c r="D263" s="353"/>
      <c r="E263" s="354"/>
    </row>
    <row r="264" spans="1:7" ht="15" thickBot="1" x14ac:dyDescent="0.35">
      <c r="A264" s="352" t="s">
        <v>143</v>
      </c>
      <c r="B264" s="353"/>
      <c r="C264" s="354"/>
      <c r="D264" s="355" t="s">
        <v>126</v>
      </c>
      <c r="E264" s="355" t="s">
        <v>144</v>
      </c>
    </row>
    <row r="265" spans="1:7" x14ac:dyDescent="0.3">
      <c r="A265" s="332" t="s">
        <v>207</v>
      </c>
      <c r="B265" s="333"/>
      <c r="C265" s="334"/>
      <c r="D265" s="335"/>
      <c r="E265" s="335"/>
    </row>
    <row r="266" spans="1:7" ht="15" thickBot="1" x14ac:dyDescent="0.35">
      <c r="A266" s="270"/>
      <c r="B266" s="196"/>
      <c r="C266" s="196"/>
      <c r="D266" s="325"/>
      <c r="E266" s="325"/>
      <c r="F266" s="371"/>
    </row>
    <row r="267" spans="1:7" ht="15" thickBot="1" x14ac:dyDescent="0.35">
      <c r="A267" s="352" t="s">
        <v>161</v>
      </c>
      <c r="B267" s="353"/>
      <c r="C267" s="353"/>
      <c r="D267" s="353"/>
      <c r="E267" s="354"/>
    </row>
    <row r="268" spans="1:7" ht="15" thickBot="1" x14ac:dyDescent="0.35">
      <c r="A268" s="352" t="s">
        <v>143</v>
      </c>
      <c r="B268" s="353"/>
      <c r="C268" s="354"/>
      <c r="D268" s="355" t="s">
        <v>126</v>
      </c>
      <c r="E268" s="355" t="s">
        <v>144</v>
      </c>
      <c r="F268" s="355" t="s">
        <v>162</v>
      </c>
      <c r="G268" s="355" t="s">
        <v>164</v>
      </c>
    </row>
    <row r="269" spans="1:7" x14ac:dyDescent="0.3">
      <c r="A269" s="317" t="s">
        <v>213</v>
      </c>
      <c r="B269" s="318"/>
      <c r="C269" s="318"/>
      <c r="D269" s="373"/>
      <c r="E269" s="373"/>
      <c r="F269" s="374"/>
      <c r="G269" s="375"/>
    </row>
    <row r="270" spans="1:7" ht="15" thickBot="1" x14ac:dyDescent="0.35">
      <c r="A270" s="379" t="s">
        <v>163</v>
      </c>
      <c r="B270" s="195"/>
      <c r="C270" s="195"/>
      <c r="D270" s="380"/>
      <c r="E270" s="380"/>
      <c r="F270" s="381"/>
      <c r="G270" s="382"/>
    </row>
    <row r="271" spans="1:7" x14ac:dyDescent="0.3">
      <c r="A271" s="317" t="s">
        <v>200</v>
      </c>
      <c r="B271" s="318"/>
      <c r="C271" s="318"/>
      <c r="D271" s="373"/>
      <c r="E271" s="373"/>
      <c r="F271" s="383"/>
      <c r="G271" s="384"/>
    </row>
    <row r="272" spans="1:7" x14ac:dyDescent="0.3">
      <c r="A272" s="319" t="s">
        <v>213</v>
      </c>
      <c r="B272" s="184"/>
      <c r="C272" s="184"/>
      <c r="D272" s="376"/>
      <c r="E272" s="376"/>
      <c r="F272" s="274"/>
      <c r="G272" s="377"/>
    </row>
    <row r="273" spans="1:30" x14ac:dyDescent="0.3">
      <c r="A273" s="319" t="s">
        <v>163</v>
      </c>
      <c r="B273" s="184"/>
      <c r="C273" s="184"/>
      <c r="D273" s="376"/>
      <c r="E273" s="376"/>
      <c r="F273" s="274"/>
      <c r="G273" s="377"/>
    </row>
    <row r="274" spans="1:30" x14ac:dyDescent="0.3">
      <c r="A274" s="319" t="s">
        <v>201</v>
      </c>
      <c r="B274" s="184"/>
      <c r="C274" s="184"/>
      <c r="D274" s="376"/>
      <c r="E274" s="376"/>
      <c r="F274" s="274"/>
      <c r="G274" s="377"/>
    </row>
    <row r="275" spans="1:30" x14ac:dyDescent="0.3">
      <c r="A275" s="407" t="s">
        <v>202</v>
      </c>
      <c r="B275" s="408"/>
      <c r="C275" s="408"/>
      <c r="D275" s="409"/>
      <c r="E275" s="410"/>
      <c r="F275" s="411"/>
      <c r="G275" s="370"/>
    </row>
    <row r="276" spans="1:30" ht="15" thickBot="1" x14ac:dyDescent="0.35">
      <c r="A276" s="270"/>
      <c r="B276" s="196"/>
      <c r="C276" s="196"/>
      <c r="D276" s="404"/>
      <c r="E276" s="325"/>
      <c r="F276" s="405"/>
      <c r="G276" s="406"/>
      <c r="H276" s="548"/>
      <c r="I276" s="172"/>
      <c r="J276" s="172"/>
      <c r="K276" s="172"/>
      <c r="L276" s="172"/>
      <c r="M276" s="172"/>
      <c r="N276" s="172"/>
      <c r="O276" s="172"/>
    </row>
    <row r="277" spans="1:30" ht="26.4" thickBot="1" x14ac:dyDescent="0.55000000000000004">
      <c r="A277" s="493" t="str">
        <f>+Experiencia!B17</f>
        <v>003</v>
      </c>
      <c r="B277" s="494"/>
      <c r="C277" s="494"/>
      <c r="D277" s="494"/>
      <c r="E277" s="494"/>
      <c r="F277" s="494"/>
      <c r="G277" s="494"/>
      <c r="H277" s="549"/>
      <c r="I277" s="494"/>
      <c r="J277" s="494"/>
      <c r="K277" s="494"/>
      <c r="L277" s="494"/>
      <c r="M277" s="494"/>
      <c r="N277" s="494"/>
      <c r="O277" s="494"/>
      <c r="P277" s="495"/>
    </row>
    <row r="278" spans="1:30" s="163" customFormat="1" ht="15" thickBot="1" x14ac:dyDescent="0.35">
      <c r="A278" s="412" t="str">
        <f>+Experiencia!C17</f>
        <v>CONSORCIO CP- UNIVERSIDAD DE NARIÑO</v>
      </c>
      <c r="B278" s="402"/>
      <c r="C278" s="402"/>
      <c r="D278" s="402"/>
      <c r="E278" s="402"/>
      <c r="F278" s="402"/>
      <c r="G278" s="402"/>
      <c r="H278" s="546"/>
      <c r="I278" s="402"/>
      <c r="J278" s="402"/>
      <c r="K278" s="402"/>
      <c r="L278" s="402"/>
      <c r="M278" s="402"/>
      <c r="N278" s="402"/>
      <c r="O278" s="403"/>
      <c r="P278" s="170"/>
      <c r="U278" s="465"/>
      <c r="V278" s="465"/>
      <c r="W278" s="465"/>
    </row>
    <row r="279" spans="1:30" s="169" customFormat="1" ht="35.4" x14ac:dyDescent="0.3">
      <c r="A279" s="180" t="s">
        <v>2</v>
      </c>
      <c r="B279" s="182" t="s">
        <v>189</v>
      </c>
      <c r="C279" s="181" t="s">
        <v>35</v>
      </c>
      <c r="D279" s="182" t="s">
        <v>96</v>
      </c>
      <c r="E279" s="182" t="s">
        <v>165</v>
      </c>
      <c r="F279" s="182" t="s">
        <v>97</v>
      </c>
      <c r="G279" s="182" t="s">
        <v>5</v>
      </c>
      <c r="H279" s="536" t="s">
        <v>99</v>
      </c>
      <c r="I279" s="182" t="s">
        <v>203</v>
      </c>
      <c r="J279" s="182" t="s">
        <v>141</v>
      </c>
      <c r="K279" s="182" t="s">
        <v>224</v>
      </c>
      <c r="L279" s="182" t="s">
        <v>204</v>
      </c>
      <c r="M279" s="182" t="s">
        <v>140</v>
      </c>
      <c r="N279" s="182" t="s">
        <v>214</v>
      </c>
      <c r="O279" s="182" t="s">
        <v>100</v>
      </c>
      <c r="P279" s="182" t="s">
        <v>94</v>
      </c>
      <c r="Q279" s="171"/>
      <c r="U279" s="465"/>
      <c r="V279" s="465"/>
      <c r="W279" s="465"/>
    </row>
    <row r="280" spans="1:30" s="312" customFormat="1" ht="48.6" customHeight="1" x14ac:dyDescent="0.3">
      <c r="A280" s="305">
        <v>1</v>
      </c>
      <c r="B280" s="305"/>
      <c r="C280" s="305"/>
      <c r="D280" s="305"/>
      <c r="E280" s="305"/>
      <c r="F280" s="305"/>
      <c r="G280" s="305"/>
      <c r="H280" s="537"/>
      <c r="I280" s="313"/>
      <c r="J280" s="306"/>
      <c r="K280" s="307"/>
      <c r="L280" s="308"/>
      <c r="M280" s="308"/>
      <c r="N280" s="309"/>
      <c r="O280" s="309"/>
      <c r="P280" s="310"/>
      <c r="Q280" s="311"/>
      <c r="U280" s="470"/>
      <c r="V280" s="470"/>
      <c r="W280" s="470"/>
    </row>
    <row r="281" spans="1:30" s="312" customFormat="1" ht="46.2" customHeight="1" x14ac:dyDescent="0.3">
      <c r="A281" s="305">
        <v>2</v>
      </c>
      <c r="B281" s="305"/>
      <c r="C281" s="305"/>
      <c r="D281" s="305"/>
      <c r="E281" s="305"/>
      <c r="F281" s="305"/>
      <c r="G281" s="305"/>
      <c r="H281" s="537"/>
      <c r="I281" s="313"/>
      <c r="J281" s="306"/>
      <c r="K281" s="307"/>
      <c r="L281" s="308"/>
      <c r="M281" s="308"/>
      <c r="N281" s="309"/>
      <c r="O281" s="309"/>
      <c r="P281" s="310"/>
      <c r="Q281" s="311"/>
      <c r="U281" s="470"/>
      <c r="V281" s="470"/>
      <c r="W281" s="470"/>
    </row>
    <row r="282" spans="1:30" s="163" customFormat="1" ht="38.4" customHeight="1" x14ac:dyDescent="0.3">
      <c r="A282" s="183">
        <v>3</v>
      </c>
      <c r="B282" s="183"/>
      <c r="C282" s="183"/>
      <c r="D282" s="183"/>
      <c r="E282" s="183"/>
      <c r="F282" s="305"/>
      <c r="G282" s="186"/>
      <c r="H282" s="538"/>
      <c r="I282" s="304"/>
      <c r="J282" s="306"/>
      <c r="K282" s="305"/>
      <c r="L282" s="308"/>
      <c r="M282" s="308"/>
      <c r="N282" s="309"/>
      <c r="O282" s="309"/>
      <c r="P282" s="360"/>
      <c r="Q282" s="315"/>
      <c r="R282" s="314"/>
      <c r="U282" s="465"/>
      <c r="V282" s="465"/>
      <c r="W282" s="465"/>
    </row>
    <row r="283" spans="1:30" s="312" customFormat="1" ht="45.6" customHeight="1" x14ac:dyDescent="0.3">
      <c r="A283" s="305">
        <v>4</v>
      </c>
      <c r="B283" s="183"/>
      <c r="C283" s="183"/>
      <c r="D283" s="183"/>
      <c r="E283" s="183"/>
      <c r="F283" s="305"/>
      <c r="G283" s="186"/>
      <c r="H283" s="538"/>
      <c r="I283" s="304"/>
      <c r="J283" s="306"/>
      <c r="K283" s="305"/>
      <c r="L283" s="308"/>
      <c r="M283" s="308"/>
      <c r="N283" s="309"/>
      <c r="O283" s="309"/>
      <c r="P283" s="310"/>
      <c r="Q283" s="311"/>
      <c r="U283" s="470"/>
      <c r="V283" s="470"/>
      <c r="W283" s="470"/>
    </row>
    <row r="284" spans="1:30" s="163" customFormat="1" x14ac:dyDescent="0.3">
      <c r="A284" s="183">
        <v>5</v>
      </c>
      <c r="B284" s="183"/>
      <c r="C284" s="183"/>
      <c r="D284" s="183"/>
      <c r="E284" s="183"/>
      <c r="F284" s="183"/>
      <c r="G284" s="186"/>
      <c r="H284" s="538"/>
      <c r="I284" s="304"/>
      <c r="J284" s="306"/>
      <c r="K284" s="186"/>
      <c r="L284" s="188"/>
      <c r="M284" s="188"/>
      <c r="N284" s="316"/>
      <c r="O284" s="309"/>
      <c r="P284" s="310"/>
      <c r="Q284" s="173"/>
      <c r="U284" s="465"/>
      <c r="V284" s="465"/>
      <c r="W284" s="465"/>
    </row>
    <row r="285" spans="1:30" s="163" customFormat="1" x14ac:dyDescent="0.3">
      <c r="A285" s="183"/>
      <c r="B285" s="183"/>
      <c r="C285" s="183"/>
      <c r="D285" s="183"/>
      <c r="E285" s="183"/>
      <c r="F285" s="183"/>
      <c r="G285" s="186"/>
      <c r="H285" s="538"/>
      <c r="I285" s="304"/>
      <c r="J285" s="186"/>
      <c r="K285" s="186"/>
      <c r="L285" s="188"/>
      <c r="M285" s="188"/>
      <c r="N285" s="188"/>
      <c r="O285" s="188"/>
      <c r="P285" s="185"/>
      <c r="Q285" s="173"/>
      <c r="U285" s="465"/>
      <c r="V285" s="465"/>
      <c r="W285" s="465"/>
    </row>
    <row r="286" spans="1:30" s="163" customFormat="1" ht="15" thickBot="1" x14ac:dyDescent="0.35">
      <c r="A286" s="183"/>
      <c r="B286" s="183"/>
      <c r="C286" s="183"/>
      <c r="D286" s="183"/>
      <c r="E286" s="183"/>
      <c r="F286" s="183"/>
      <c r="G286" s="186"/>
      <c r="H286" s="538"/>
      <c r="I286" s="187"/>
      <c r="J286" s="186"/>
      <c r="K286" s="186"/>
      <c r="L286" s="188"/>
      <c r="M286" s="188"/>
      <c r="N286" s="188"/>
      <c r="O286" s="188"/>
      <c r="P286" s="185"/>
      <c r="Q286" s="173"/>
      <c r="U286" s="465"/>
      <c r="V286" s="465"/>
      <c r="W286" s="465"/>
    </row>
    <row r="287" spans="1:30" s="163" customFormat="1" ht="29.4" thickBot="1" x14ac:dyDescent="0.35">
      <c r="A287" s="189"/>
      <c r="B287" s="189"/>
      <c r="C287" s="189"/>
      <c r="D287" s="189"/>
      <c r="E287" s="189"/>
      <c r="F287" s="189"/>
      <c r="G287" s="476" t="s">
        <v>234</v>
      </c>
      <c r="H287" s="539"/>
      <c r="I287" s="190"/>
      <c r="J287" s="190"/>
      <c r="K287" s="190"/>
      <c r="L287" s="191"/>
      <c r="M287" s="191"/>
      <c r="N287" s="198">
        <f>SUM(N280:N286)</f>
        <v>0</v>
      </c>
      <c r="O287" s="192"/>
      <c r="P287" s="193"/>
      <c r="Q287" s="173"/>
      <c r="U287" s="480" t="s">
        <v>250</v>
      </c>
      <c r="V287" s="465" t="s">
        <v>251</v>
      </c>
      <c r="W287" s="482" t="s">
        <v>252</v>
      </c>
      <c r="X287" s="480" t="s">
        <v>250</v>
      </c>
      <c r="Y287" s="465" t="s">
        <v>251</v>
      </c>
      <c r="Z287" s="482" t="s">
        <v>252</v>
      </c>
      <c r="AB287" s="480" t="s">
        <v>250</v>
      </c>
      <c r="AC287" s="465" t="s">
        <v>251</v>
      </c>
      <c r="AD287" s="482" t="s">
        <v>252</v>
      </c>
    </row>
    <row r="288" spans="1:30" s="163" customFormat="1" ht="15.75" customHeight="1" thickBot="1" x14ac:dyDescent="0.35">
      <c r="A288" s="189"/>
      <c r="B288" s="189"/>
      <c r="C288" s="189"/>
      <c r="D288" s="189"/>
      <c r="E288" s="189"/>
      <c r="F288" s="189"/>
      <c r="G288" s="476" t="s">
        <v>235</v>
      </c>
      <c r="H288" s="539"/>
      <c r="I288" s="190"/>
      <c r="J288" s="190"/>
      <c r="K288" s="190"/>
      <c r="L288" s="190"/>
      <c r="M288" s="190"/>
      <c r="N288" s="198"/>
      <c r="O288" s="194">
        <f>SUM(O280:O287)</f>
        <v>0</v>
      </c>
      <c r="P288" s="189"/>
      <c r="Q288" s="173"/>
      <c r="U288" s="474">
        <v>40224</v>
      </c>
      <c r="V288" s="474">
        <v>40359</v>
      </c>
      <c r="W288" s="475">
        <f>+((V288-U288)+1)/30</f>
        <v>4.5333333333333332</v>
      </c>
      <c r="X288" s="474">
        <v>40926</v>
      </c>
      <c r="Y288" s="474">
        <v>41068</v>
      </c>
      <c r="Z288" s="475">
        <f>+((Y288-X288)+1)/30</f>
        <v>4.7666666666666666</v>
      </c>
      <c r="AB288" s="474">
        <v>41457</v>
      </c>
      <c r="AC288" s="474">
        <v>41506</v>
      </c>
      <c r="AD288" s="475">
        <f>+((AC288-AB288)+1)/30</f>
        <v>1.6666666666666667</v>
      </c>
    </row>
    <row r="289" spans="1:48" ht="15" thickBot="1" x14ac:dyDescent="0.35">
      <c r="U289" s="464">
        <v>40410</v>
      </c>
      <c r="V289" s="464">
        <v>40448</v>
      </c>
      <c r="W289" s="475">
        <f>+((V289-U289)+1)/30</f>
        <v>1.3</v>
      </c>
      <c r="X289" s="485">
        <v>41164</v>
      </c>
      <c r="Y289" s="485">
        <v>41230</v>
      </c>
      <c r="Z289" s="475">
        <f>+((Y289-X289)+1)/30</f>
        <v>2.2333333333333334</v>
      </c>
      <c r="AB289" s="485">
        <v>41519</v>
      </c>
      <c r="AC289" s="485">
        <v>41654</v>
      </c>
      <c r="AD289" s="475">
        <f>+((AC289-AB289)+1)/30</f>
        <v>4.5333333333333332</v>
      </c>
    </row>
    <row r="290" spans="1:48" s="312" customFormat="1" ht="36.6" thickBot="1" x14ac:dyDescent="0.35">
      <c r="A290" s="560" t="s">
        <v>505</v>
      </c>
      <c r="B290" s="561"/>
      <c r="C290" s="561"/>
      <c r="D290" s="561"/>
      <c r="E290" s="562"/>
      <c r="F290" s="563" t="s">
        <v>504</v>
      </c>
      <c r="G290" s="520"/>
      <c r="H290" s="554"/>
      <c r="I290" s="521"/>
      <c r="J290" s="521"/>
      <c r="K290" s="521"/>
      <c r="L290" s="521"/>
      <c r="M290" s="521"/>
      <c r="N290" s="521"/>
      <c r="O290" s="521"/>
      <c r="P290" s="311"/>
      <c r="U290" s="471">
        <v>40505</v>
      </c>
      <c r="V290" s="471">
        <v>40633</v>
      </c>
      <c r="W290" s="475">
        <f>+((V290-U290)+1)/30</f>
        <v>4.3</v>
      </c>
      <c r="X290" s="522">
        <v>41381</v>
      </c>
      <c r="Y290" s="522">
        <v>41425</v>
      </c>
      <c r="Z290" s="475">
        <f>+((Y290-X290)+1)/30</f>
        <v>1.5</v>
      </c>
      <c r="AB290" s="522"/>
      <c r="AC290" s="522"/>
      <c r="AD290" s="475">
        <f>+((AC290-AB290)+0)/30</f>
        <v>0</v>
      </c>
    </row>
    <row r="291" spans="1:48" s="163" customFormat="1" ht="15" thickBot="1" x14ac:dyDescent="0.35">
      <c r="A291" s="496" t="s">
        <v>143</v>
      </c>
      <c r="B291" s="497"/>
      <c r="C291" s="498"/>
      <c r="D291" s="499" t="s">
        <v>126</v>
      </c>
      <c r="E291" s="499" t="s">
        <v>144</v>
      </c>
      <c r="F291" s="268"/>
      <c r="G291" s="269"/>
      <c r="H291" s="540"/>
      <c r="I291" s="196"/>
      <c r="J291" s="196"/>
      <c r="K291" s="196"/>
      <c r="L291" s="196"/>
      <c r="M291" s="196"/>
      <c r="N291" s="196"/>
      <c r="O291" s="196"/>
      <c r="P291" s="173"/>
      <c r="U291" s="465"/>
      <c r="V291" s="483" t="s">
        <v>292</v>
      </c>
      <c r="W291" s="481">
        <f>SUM(W288:W290)</f>
        <v>10.133333333333333</v>
      </c>
      <c r="Y291" s="483" t="s">
        <v>292</v>
      </c>
      <c r="Z291" s="481">
        <f>SUM(Z288:Z290)</f>
        <v>8.5</v>
      </c>
      <c r="AC291" s="483" t="s">
        <v>292</v>
      </c>
      <c r="AD291" s="481">
        <f>SUM(AD288:AD290)</f>
        <v>6.2</v>
      </c>
    </row>
    <row r="292" spans="1:48" s="163" customFormat="1" x14ac:dyDescent="0.3">
      <c r="A292" s="332" t="s">
        <v>187</v>
      </c>
      <c r="B292" s="333"/>
      <c r="C292" s="334"/>
      <c r="D292" s="335" t="s">
        <v>90</v>
      </c>
      <c r="E292" s="335"/>
      <c r="F292" s="268"/>
      <c r="G292" s="269"/>
      <c r="H292" s="540"/>
      <c r="I292" s="196"/>
      <c r="J292" s="196"/>
      <c r="K292" s="196"/>
      <c r="L292" s="196"/>
      <c r="M292" s="196"/>
      <c r="N292" s="196"/>
      <c r="O292" s="196"/>
      <c r="P292" s="173"/>
      <c r="U292" s="465"/>
      <c r="V292" s="465"/>
      <c r="W292" s="465"/>
    </row>
    <row r="293" spans="1:48" s="163" customFormat="1" x14ac:dyDescent="0.3">
      <c r="A293" s="326" t="s">
        <v>188</v>
      </c>
      <c r="B293" s="327"/>
      <c r="C293" s="328"/>
      <c r="D293" s="320" t="s">
        <v>90</v>
      </c>
      <c r="E293" s="320"/>
      <c r="F293" s="268"/>
      <c r="G293" s="269"/>
      <c r="H293" s="540"/>
      <c r="I293" s="196"/>
      <c r="J293" s="196"/>
      <c r="K293" s="196"/>
      <c r="L293" s="196"/>
      <c r="M293" s="196"/>
      <c r="N293" s="196"/>
      <c r="O293" s="196"/>
      <c r="P293" s="173"/>
      <c r="U293" s="465"/>
      <c r="V293" s="465"/>
      <c r="W293" s="465"/>
    </row>
    <row r="294" spans="1:48" s="163" customFormat="1" ht="15" thickBot="1" x14ac:dyDescent="0.35">
      <c r="A294" s="329" t="s">
        <v>142</v>
      </c>
      <c r="B294" s="330"/>
      <c r="C294" s="331"/>
      <c r="D294" s="321" t="s">
        <v>90</v>
      </c>
      <c r="E294" s="321"/>
      <c r="F294" s="268"/>
      <c r="G294" s="269"/>
      <c r="H294" s="540"/>
      <c r="I294" s="196"/>
      <c r="J294" s="196"/>
      <c r="K294" s="196"/>
      <c r="L294" s="196"/>
      <c r="M294" s="196"/>
      <c r="N294" s="196"/>
      <c r="O294" s="196"/>
      <c r="P294" s="173"/>
      <c r="U294" s="465"/>
      <c r="V294" s="465"/>
      <c r="W294" s="465"/>
    </row>
    <row r="295" spans="1:48" s="163" customFormat="1" x14ac:dyDescent="0.3">
      <c r="A295" s="322"/>
      <c r="B295" s="323"/>
      <c r="C295" s="324"/>
      <c r="D295" s="325"/>
      <c r="E295" s="325"/>
      <c r="F295" s="268"/>
      <c r="G295" s="269"/>
      <c r="H295" s="540"/>
      <c r="I295" s="196"/>
      <c r="J295" s="196"/>
      <c r="K295" s="196"/>
      <c r="L295" s="196"/>
      <c r="M295" s="196"/>
      <c r="N295" s="196"/>
      <c r="O295" s="196"/>
      <c r="P295" s="173"/>
      <c r="U295" s="465"/>
      <c r="V295" s="465"/>
      <c r="W295" s="465"/>
    </row>
    <row r="296" spans="1:48" s="163" customFormat="1" ht="46.8" x14ac:dyDescent="0.3">
      <c r="A296" s="500" t="s">
        <v>206</v>
      </c>
      <c r="B296" s="500" t="s">
        <v>35</v>
      </c>
      <c r="C296" s="500" t="s">
        <v>258</v>
      </c>
      <c r="D296" s="500" t="s">
        <v>207</v>
      </c>
      <c r="E296" s="500" t="s">
        <v>241</v>
      </c>
      <c r="F296" s="500" t="s">
        <v>242</v>
      </c>
      <c r="G296" s="500" t="s">
        <v>243</v>
      </c>
      <c r="H296" s="550" t="s">
        <v>244</v>
      </c>
      <c r="I296" s="501" t="s">
        <v>5</v>
      </c>
      <c r="J296" s="501" t="s">
        <v>145</v>
      </c>
      <c r="K296" s="501" t="s">
        <v>190</v>
      </c>
      <c r="L296" s="501" t="s">
        <v>147</v>
      </c>
      <c r="M296" s="501" t="s">
        <v>129</v>
      </c>
      <c r="N296" s="501" t="s">
        <v>245</v>
      </c>
      <c r="O296" s="501" t="s">
        <v>208</v>
      </c>
      <c r="P296" s="501" t="s">
        <v>249</v>
      </c>
      <c r="Q296" s="501" t="s">
        <v>148</v>
      </c>
      <c r="R296" s="501" t="s">
        <v>192</v>
      </c>
      <c r="S296" s="501"/>
      <c r="T296" s="173"/>
      <c r="X296" s="465"/>
    </row>
    <row r="297" spans="1:48" s="312" customFormat="1" ht="48.6" customHeight="1" x14ac:dyDescent="0.3">
      <c r="A297" s="305">
        <v>1</v>
      </c>
      <c r="B297" s="305">
        <v>85</v>
      </c>
      <c r="C297" s="305">
        <v>442</v>
      </c>
      <c r="D297" s="305" t="s">
        <v>371</v>
      </c>
      <c r="E297" s="305" t="s">
        <v>371</v>
      </c>
      <c r="F297" s="305" t="s">
        <v>370</v>
      </c>
      <c r="G297" s="305" t="s">
        <v>372</v>
      </c>
      <c r="H297" s="537"/>
      <c r="I297" s="313"/>
      <c r="J297" s="306" t="e">
        <f>+H297/LOOKUP(I297,'TABLA SMMLV'!$B$2:$C$28)</f>
        <v>#N/A</v>
      </c>
      <c r="K297" s="307"/>
      <c r="L297" s="308"/>
      <c r="M297" s="308"/>
      <c r="N297" s="309">
        <f>+M297*L297*K297</f>
        <v>0</v>
      </c>
      <c r="O297" s="309" t="e">
        <f>+M297*L297*J297</f>
        <v>#N/A</v>
      </c>
      <c r="P297" s="310" t="s">
        <v>373</v>
      </c>
      <c r="Q297" s="311"/>
      <c r="U297" s="470"/>
      <c r="V297" s="470"/>
      <c r="W297" s="470"/>
    </row>
    <row r="298" spans="1:48" s="312" customFormat="1" x14ac:dyDescent="0.3">
      <c r="A298" s="338">
        <v>2</v>
      </c>
      <c r="B298" s="338"/>
      <c r="C298" s="338"/>
      <c r="D298" s="338"/>
      <c r="E298" s="338"/>
      <c r="F298" s="338"/>
      <c r="G298" s="338"/>
      <c r="H298" s="542"/>
      <c r="I298" s="339"/>
      <c r="J298" s="339"/>
      <c r="K298" s="339"/>
      <c r="L298" s="391"/>
      <c r="M298" s="338"/>
      <c r="N298" s="338"/>
      <c r="O298" s="338"/>
      <c r="P298" s="338"/>
      <c r="Q298" s="338"/>
      <c r="R298" s="338"/>
      <c r="S298" s="311"/>
      <c r="U298" s="471"/>
      <c r="V298" s="471"/>
      <c r="W298" s="470"/>
      <c r="X298" s="340"/>
      <c r="Y298" s="340"/>
      <c r="Z298" s="340"/>
      <c r="AU298" s="312">
        <v>41856</v>
      </c>
      <c r="AV298" s="312">
        <f>+AU298-AT298</f>
        <v>41856</v>
      </c>
    </row>
    <row r="299" spans="1:48" s="312" customFormat="1" x14ac:dyDescent="0.3">
      <c r="A299" s="338">
        <v>3</v>
      </c>
      <c r="B299" s="338"/>
      <c r="C299" s="338"/>
      <c r="D299" s="338"/>
      <c r="E299" s="338"/>
      <c r="F299" s="338"/>
      <c r="G299" s="338"/>
      <c r="H299" s="542"/>
      <c r="I299" s="339"/>
      <c r="J299" s="339"/>
      <c r="K299" s="339"/>
      <c r="L299" s="391"/>
      <c r="M299" s="391"/>
      <c r="N299" s="338"/>
      <c r="O299" s="338"/>
      <c r="P299" s="338"/>
      <c r="Q299" s="391"/>
      <c r="R299" s="338"/>
      <c r="S299" s="311"/>
      <c r="U299" s="471"/>
      <c r="V299" s="471"/>
      <c r="W299" s="470"/>
      <c r="X299" s="340"/>
      <c r="Y299" s="340"/>
      <c r="Z299" s="340"/>
      <c r="AV299" s="312">
        <f t="shared" ref="AV299" si="5">+AU299-AT299</f>
        <v>0</v>
      </c>
    </row>
    <row r="300" spans="1:48" s="312" customFormat="1" x14ac:dyDescent="0.3">
      <c r="A300" s="338">
        <v>4</v>
      </c>
      <c r="B300" s="338"/>
      <c r="C300" s="338"/>
      <c r="D300" s="338"/>
      <c r="E300" s="338"/>
      <c r="F300" s="338"/>
      <c r="G300" s="338"/>
      <c r="H300" s="542"/>
      <c r="I300" s="339"/>
      <c r="J300" s="339"/>
      <c r="K300" s="339"/>
      <c r="L300" s="391"/>
      <c r="M300" s="338"/>
      <c r="N300" s="338"/>
      <c r="O300" s="338"/>
      <c r="P300" s="338"/>
      <c r="Q300" s="338"/>
      <c r="R300" s="338"/>
      <c r="S300" s="311"/>
      <c r="U300" s="471"/>
      <c r="V300" s="471"/>
      <c r="W300" s="470"/>
      <c r="X300" s="340"/>
      <c r="Y300" s="340"/>
      <c r="Z300" s="340"/>
    </row>
    <row r="301" spans="1:48" s="312" customFormat="1" x14ac:dyDescent="0.3">
      <c r="A301" s="338">
        <v>5</v>
      </c>
      <c r="B301" s="338"/>
      <c r="C301" s="338"/>
      <c r="D301" s="338"/>
      <c r="E301" s="338"/>
      <c r="F301" s="338"/>
      <c r="G301" s="338"/>
      <c r="H301" s="542"/>
      <c r="I301" s="339"/>
      <c r="J301" s="339"/>
      <c r="K301" s="339"/>
      <c r="L301" s="391"/>
      <c r="M301" s="338"/>
      <c r="N301" s="338"/>
      <c r="O301" s="338"/>
      <c r="P301" s="338"/>
      <c r="Q301" s="338"/>
      <c r="R301" s="338"/>
      <c r="S301" s="311"/>
      <c r="U301" s="471"/>
      <c r="V301" s="471"/>
      <c r="W301" s="470"/>
      <c r="X301" s="340"/>
      <c r="Y301" s="340"/>
      <c r="Z301" s="340"/>
    </row>
    <row r="302" spans="1:48" s="312" customFormat="1" x14ac:dyDescent="0.3">
      <c r="A302" s="338">
        <v>6</v>
      </c>
      <c r="B302" s="338"/>
      <c r="C302" s="338"/>
      <c r="D302" s="338"/>
      <c r="E302" s="338"/>
      <c r="F302" s="338"/>
      <c r="G302" s="338"/>
      <c r="H302" s="542"/>
      <c r="I302" s="339"/>
      <c r="J302" s="339"/>
      <c r="K302" s="339"/>
      <c r="L302" s="391"/>
      <c r="M302" s="338"/>
      <c r="N302" s="338"/>
      <c r="O302" s="338"/>
      <c r="P302" s="338"/>
      <c r="Q302" s="338"/>
      <c r="R302" s="338"/>
      <c r="S302" s="311"/>
      <c r="U302" s="471"/>
      <c r="V302" s="471"/>
      <c r="W302" s="470"/>
      <c r="X302" s="340"/>
      <c r="Y302" s="340"/>
      <c r="Z302" s="340"/>
      <c r="AV302" s="312">
        <f>SUM(AV298:AV301)+COUNT(AV298:AV301)</f>
        <v>41858</v>
      </c>
    </row>
    <row r="303" spans="1:48" s="312" customFormat="1" x14ac:dyDescent="0.3">
      <c r="A303" s="338">
        <v>7</v>
      </c>
      <c r="B303" s="338"/>
      <c r="C303" s="338"/>
      <c r="D303" s="338"/>
      <c r="E303" s="338"/>
      <c r="F303" s="338"/>
      <c r="G303" s="338"/>
      <c r="H303" s="542"/>
      <c r="I303" s="339"/>
      <c r="J303" s="339"/>
      <c r="K303" s="338"/>
      <c r="L303" s="338"/>
      <c r="M303" s="338"/>
      <c r="N303" s="338"/>
      <c r="O303" s="338"/>
      <c r="P303" s="338"/>
      <c r="Q303" s="338"/>
      <c r="R303" s="338"/>
      <c r="S303" s="311"/>
      <c r="U303" s="471"/>
      <c r="V303" s="471"/>
      <c r="W303" s="470"/>
      <c r="X303" s="340"/>
      <c r="Y303" s="340"/>
      <c r="Z303" s="340"/>
      <c r="AV303" s="312">
        <f>+AV302/30</f>
        <v>1395.2666666666667</v>
      </c>
    </row>
    <row r="304" spans="1:48" s="312" customFormat="1" x14ac:dyDescent="0.3">
      <c r="A304" s="338">
        <v>8</v>
      </c>
      <c r="B304" s="338"/>
      <c r="C304" s="338"/>
      <c r="D304" s="338"/>
      <c r="E304" s="338"/>
      <c r="F304" s="338"/>
      <c r="G304" s="338"/>
      <c r="H304" s="542"/>
      <c r="I304" s="339"/>
      <c r="J304" s="339"/>
      <c r="K304" s="338"/>
      <c r="L304" s="338"/>
      <c r="M304" s="338"/>
      <c r="N304" s="338"/>
      <c r="O304" s="338"/>
      <c r="P304" s="338"/>
      <c r="Q304" s="338"/>
      <c r="R304" s="338"/>
      <c r="S304" s="311"/>
      <c r="U304" s="471"/>
      <c r="V304" s="471"/>
      <c r="W304" s="470"/>
      <c r="X304" s="340"/>
      <c r="Y304" s="340"/>
      <c r="Z304" s="340"/>
    </row>
    <row r="305" spans="1:23" s="163" customFormat="1" x14ac:dyDescent="0.3">
      <c r="A305" s="272"/>
      <c r="B305" s="272"/>
      <c r="C305" s="272"/>
      <c r="D305" s="272"/>
      <c r="E305" s="272"/>
      <c r="F305" s="272"/>
      <c r="G305" s="272"/>
      <c r="H305" s="543"/>
      <c r="I305" s="337"/>
      <c r="J305" s="337"/>
      <c r="K305" s="272"/>
      <c r="L305" s="272"/>
      <c r="M305" s="272"/>
      <c r="N305" s="272"/>
      <c r="O305" s="272"/>
      <c r="P305" s="272"/>
      <c r="Q305" s="272"/>
      <c r="R305" s="272"/>
      <c r="S305" s="173"/>
      <c r="U305" s="464"/>
      <c r="V305" s="464"/>
      <c r="W305" s="472"/>
    </row>
    <row r="306" spans="1:23" s="163" customFormat="1" x14ac:dyDescent="0.3">
      <c r="A306" s="272"/>
      <c r="B306" s="272"/>
      <c r="C306" s="272"/>
      <c r="D306" s="272"/>
      <c r="E306" s="272"/>
      <c r="F306" s="272"/>
      <c r="G306" s="272"/>
      <c r="H306" s="543"/>
      <c r="I306" s="272"/>
      <c r="J306" s="272"/>
      <c r="K306" s="274"/>
      <c r="L306" s="272"/>
      <c r="M306" s="272"/>
      <c r="N306" s="272"/>
      <c r="O306" s="272"/>
      <c r="P306" s="273"/>
      <c r="Q306" s="272"/>
      <c r="R306" s="272"/>
      <c r="S306" s="173"/>
      <c r="U306" s="464"/>
      <c r="V306" s="464"/>
      <c r="W306" s="465"/>
    </row>
    <row r="307" spans="1:23" s="163" customFormat="1" ht="27.6" x14ac:dyDescent="0.3">
      <c r="A307" s="272"/>
      <c r="B307" s="272"/>
      <c r="C307" s="272"/>
      <c r="D307" s="272"/>
      <c r="E307" s="272"/>
      <c r="F307" s="272"/>
      <c r="G307" s="272"/>
      <c r="H307" s="547"/>
      <c r="I307" s="276"/>
      <c r="J307" s="276"/>
      <c r="K307" s="275"/>
      <c r="L307" s="272"/>
      <c r="M307" s="272"/>
      <c r="N307" s="272"/>
      <c r="P307" s="276" t="s">
        <v>146</v>
      </c>
      <c r="Q307" s="274">
        <f>SUM(Q298:Q306)</f>
        <v>0</v>
      </c>
      <c r="R307" s="272"/>
      <c r="S307" s="173"/>
      <c r="U307" s="464"/>
      <c r="V307" s="464"/>
      <c r="W307" s="465"/>
    </row>
    <row r="308" spans="1:23" s="163" customFormat="1" ht="15" thickBot="1" x14ac:dyDescent="0.35">
      <c r="A308" s="272"/>
      <c r="B308" s="272"/>
      <c r="C308" s="272"/>
      <c r="D308" s="272"/>
      <c r="E308" s="272"/>
      <c r="F308" s="272"/>
      <c r="G308" s="272"/>
      <c r="H308" s="543"/>
      <c r="I308" s="272"/>
      <c r="J308" s="272"/>
      <c r="K308" s="272"/>
      <c r="L308" s="272"/>
      <c r="M308" s="272"/>
      <c r="N308" s="272"/>
      <c r="O308" s="272"/>
      <c r="P308" s="272"/>
      <c r="Q308" s="173"/>
      <c r="U308" s="465"/>
      <c r="V308" s="465"/>
      <c r="W308" s="465"/>
    </row>
    <row r="309" spans="1:23" s="163" customFormat="1" ht="15" thickBot="1" x14ac:dyDescent="0.35">
      <c r="A309" s="496" t="s">
        <v>265</v>
      </c>
      <c r="B309" s="497"/>
      <c r="C309" s="497"/>
      <c r="D309" s="497"/>
      <c r="E309" s="498"/>
      <c r="F309" s="268"/>
      <c r="G309" s="269"/>
      <c r="H309" s="540"/>
      <c r="I309" s="196"/>
      <c r="J309" s="196"/>
      <c r="K309" s="196"/>
      <c r="L309" s="196"/>
      <c r="M309" s="196"/>
      <c r="N309" s="196"/>
      <c r="O309" s="196"/>
      <c r="P309" s="173"/>
      <c r="U309" s="465"/>
      <c r="V309" s="465"/>
      <c r="W309" s="465"/>
    </row>
    <row r="310" spans="1:23" s="163" customFormat="1" ht="15" thickBot="1" x14ac:dyDescent="0.35">
      <c r="A310" s="496" t="s">
        <v>143</v>
      </c>
      <c r="B310" s="497"/>
      <c r="C310" s="498"/>
      <c r="D310" s="499" t="s">
        <v>126</v>
      </c>
      <c r="E310" s="499" t="s">
        <v>144</v>
      </c>
      <c r="F310" s="268"/>
      <c r="G310" s="269"/>
      <c r="H310" s="540"/>
      <c r="I310" s="196"/>
      <c r="J310" s="196"/>
      <c r="K310" s="196"/>
      <c r="L310" s="196"/>
      <c r="M310" s="196"/>
      <c r="N310" s="196"/>
      <c r="O310" s="196"/>
      <c r="P310" s="173"/>
      <c r="U310" s="465"/>
      <c r="V310" s="465"/>
      <c r="W310" s="465"/>
    </row>
    <row r="311" spans="1:23" s="163" customFormat="1" x14ac:dyDescent="0.3">
      <c r="A311" s="332" t="s">
        <v>187</v>
      </c>
      <c r="B311" s="333"/>
      <c r="C311" s="334"/>
      <c r="D311" s="335"/>
      <c r="E311" s="335"/>
      <c r="F311" s="268"/>
      <c r="G311" s="269"/>
      <c r="H311" s="540"/>
      <c r="I311" s="196"/>
      <c r="J311" s="196"/>
      <c r="K311" s="196"/>
      <c r="L311" s="196"/>
      <c r="M311" s="196"/>
      <c r="N311" s="196"/>
      <c r="O311" s="196"/>
      <c r="P311" s="173"/>
      <c r="U311" s="465"/>
      <c r="V311" s="465"/>
      <c r="W311" s="465"/>
    </row>
    <row r="312" spans="1:23" s="163" customFormat="1" x14ac:dyDescent="0.3">
      <c r="A312" s="326" t="s">
        <v>149</v>
      </c>
      <c r="B312" s="327"/>
      <c r="C312" s="328"/>
      <c r="D312" s="320"/>
      <c r="E312" s="320"/>
      <c r="F312" s="268"/>
      <c r="G312" s="269"/>
      <c r="H312" s="540"/>
      <c r="I312" s="196"/>
      <c r="J312" s="196"/>
      <c r="K312" s="196"/>
      <c r="L312" s="196"/>
      <c r="M312" s="196"/>
      <c r="N312" s="196"/>
      <c r="O312" s="196"/>
      <c r="P312" s="173"/>
      <c r="U312" s="465"/>
      <c r="V312" s="465"/>
      <c r="W312" s="465"/>
    </row>
    <row r="313" spans="1:23" s="163" customFormat="1" x14ac:dyDescent="0.3">
      <c r="A313" s="343" t="s">
        <v>150</v>
      </c>
      <c r="B313" s="344"/>
      <c r="C313" s="345"/>
      <c r="D313" s="346"/>
      <c r="E313" s="346"/>
      <c r="F313" s="268"/>
      <c r="G313" s="269"/>
      <c r="H313" s="540"/>
      <c r="I313" s="196"/>
      <c r="J313" s="196"/>
      <c r="K313" s="196"/>
      <c r="L313" s="196"/>
      <c r="M313" s="196"/>
      <c r="N313" s="196"/>
      <c r="O313" s="196"/>
      <c r="P313" s="173"/>
      <c r="U313" s="465"/>
      <c r="V313" s="465"/>
      <c r="W313" s="465"/>
    </row>
    <row r="314" spans="1:23" s="163" customFormat="1" x14ac:dyDescent="0.3">
      <c r="A314" s="343" t="s">
        <v>142</v>
      </c>
      <c r="B314" s="344"/>
      <c r="C314" s="345"/>
      <c r="D314" s="346"/>
      <c r="E314" s="346"/>
      <c r="F314" s="268"/>
      <c r="G314" s="269"/>
      <c r="H314" s="540"/>
      <c r="I314" s="196"/>
      <c r="J314" s="196"/>
      <c r="K314" s="196"/>
      <c r="L314" s="196"/>
      <c r="M314" s="196"/>
      <c r="N314" s="196"/>
      <c r="O314" s="196"/>
      <c r="P314" s="173"/>
      <c r="U314" s="465"/>
      <c r="V314" s="465"/>
      <c r="W314" s="465"/>
    </row>
    <row r="315" spans="1:23" s="163" customFormat="1" x14ac:dyDescent="0.3">
      <c r="A315" s="343"/>
      <c r="B315" s="344"/>
      <c r="C315" s="345"/>
      <c r="D315" s="346"/>
      <c r="E315" s="346"/>
      <c r="F315" s="268"/>
      <c r="G315" s="269"/>
      <c r="H315" s="540"/>
      <c r="I315" s="196"/>
      <c r="J315" s="196"/>
      <c r="K315" s="196"/>
      <c r="L315" s="196"/>
      <c r="M315" s="196"/>
      <c r="N315" s="196"/>
      <c r="O315" s="196"/>
      <c r="P315" s="173"/>
      <c r="U315" s="465"/>
      <c r="V315" s="465"/>
      <c r="W315" s="465"/>
    </row>
    <row r="316" spans="1:23" s="163" customFormat="1" ht="15" thickBot="1" x14ac:dyDescent="0.35">
      <c r="A316" s="329"/>
      <c r="B316" s="330"/>
      <c r="C316" s="331"/>
      <c r="D316" s="321"/>
      <c r="E316" s="321"/>
      <c r="F316" s="268"/>
      <c r="G316" s="269"/>
      <c r="H316" s="540"/>
      <c r="I316" s="196"/>
      <c r="J316" s="196"/>
      <c r="K316" s="196"/>
      <c r="L316" s="196"/>
      <c r="M316" s="196"/>
      <c r="N316" s="196"/>
      <c r="O316" s="196"/>
      <c r="P316" s="173"/>
      <c r="U316" s="465"/>
      <c r="V316" s="465"/>
      <c r="W316" s="465"/>
    </row>
    <row r="317" spans="1:23" ht="15" thickBot="1" x14ac:dyDescent="0.35"/>
    <row r="318" spans="1:23" ht="15" thickBot="1" x14ac:dyDescent="0.35">
      <c r="A318" s="496" t="s">
        <v>266</v>
      </c>
      <c r="B318" s="497"/>
      <c r="C318" s="497"/>
      <c r="D318" s="497"/>
      <c r="E318" s="498"/>
      <c r="F318" s="502"/>
    </row>
    <row r="319" spans="1:23" ht="15" thickBot="1" x14ac:dyDescent="0.35">
      <c r="A319" s="496" t="s">
        <v>143</v>
      </c>
      <c r="B319" s="497"/>
      <c r="C319" s="498"/>
      <c r="D319" s="499" t="s">
        <v>126</v>
      </c>
      <c r="E319" s="499" t="s">
        <v>144</v>
      </c>
    </row>
    <row r="320" spans="1:23" x14ac:dyDescent="0.3">
      <c r="A320" s="332" t="s">
        <v>187</v>
      </c>
      <c r="B320" s="333"/>
      <c r="C320" s="334"/>
      <c r="D320" s="335"/>
      <c r="E320" s="335"/>
    </row>
    <row r="321" spans="1:23" x14ac:dyDescent="0.3">
      <c r="A321" s="326" t="s">
        <v>149</v>
      </c>
      <c r="B321" s="327"/>
      <c r="C321" s="328"/>
      <c r="D321" s="320"/>
      <c r="E321" s="320"/>
    </row>
    <row r="322" spans="1:23" x14ac:dyDescent="0.3">
      <c r="A322" s="343" t="s">
        <v>151</v>
      </c>
      <c r="B322" s="344"/>
      <c r="C322" s="345"/>
      <c r="D322" s="346"/>
      <c r="E322" s="346"/>
    </row>
    <row r="323" spans="1:23" ht="15" thickBot="1" x14ac:dyDescent="0.35">
      <c r="A323" s="329"/>
      <c r="B323" s="330"/>
      <c r="C323" s="331"/>
      <c r="D323" s="321"/>
      <c r="E323" s="321"/>
    </row>
    <row r="325" spans="1:23" s="163" customFormat="1" ht="46.8" x14ac:dyDescent="0.3">
      <c r="A325" s="182" t="s">
        <v>206</v>
      </c>
      <c r="B325" s="182" t="s">
        <v>35</v>
      </c>
      <c r="C325" s="182" t="s">
        <v>189</v>
      </c>
      <c r="D325" s="182" t="s">
        <v>207</v>
      </c>
      <c r="E325" s="182" t="s">
        <v>152</v>
      </c>
      <c r="F325" s="182" t="s">
        <v>193</v>
      </c>
      <c r="G325" s="271" t="s">
        <v>97</v>
      </c>
      <c r="H325" s="541" t="s">
        <v>5</v>
      </c>
      <c r="I325" s="271" t="s">
        <v>145</v>
      </c>
      <c r="J325" s="271" t="s">
        <v>190</v>
      </c>
      <c r="K325" s="271" t="s">
        <v>209</v>
      </c>
      <c r="L325" s="271" t="s">
        <v>153</v>
      </c>
      <c r="M325" s="271" t="s">
        <v>191</v>
      </c>
      <c r="N325" s="271"/>
      <c r="O325" s="271"/>
      <c r="P325" s="271"/>
      <c r="Q325" s="271" t="s">
        <v>192</v>
      </c>
      <c r="U325" s="465"/>
      <c r="V325" s="465"/>
      <c r="W325" s="465"/>
    </row>
    <row r="326" spans="1:23" s="312" customFormat="1" x14ac:dyDescent="0.3">
      <c r="A326" s="338">
        <v>1</v>
      </c>
      <c r="B326" s="338"/>
      <c r="C326" s="338"/>
      <c r="D326" s="341"/>
      <c r="E326" s="338"/>
      <c r="F326" s="338"/>
      <c r="G326" s="338"/>
      <c r="H326" s="542"/>
      <c r="I326" s="339"/>
      <c r="J326" s="339"/>
      <c r="K326" s="338"/>
      <c r="L326" s="349"/>
      <c r="O326" s="338"/>
      <c r="P326" s="338"/>
      <c r="Q326" s="338"/>
      <c r="U326" s="470"/>
      <c r="V326" s="470"/>
      <c r="W326" s="470"/>
    </row>
    <row r="327" spans="1:23" s="312" customFormat="1" x14ac:dyDescent="0.3">
      <c r="A327" s="338">
        <v>2</v>
      </c>
      <c r="B327" s="338"/>
      <c r="C327" s="338"/>
      <c r="D327" s="341"/>
      <c r="E327" s="338"/>
      <c r="F327" s="338"/>
      <c r="G327" s="338"/>
      <c r="H327" s="542"/>
      <c r="I327" s="339"/>
      <c r="J327" s="339"/>
      <c r="K327" s="338"/>
      <c r="L327" s="349"/>
      <c r="M327" s="338"/>
      <c r="N327" s="338"/>
      <c r="O327" s="338"/>
      <c r="P327" s="338"/>
      <c r="Q327" s="338"/>
      <c r="U327" s="470"/>
      <c r="V327" s="470"/>
      <c r="W327" s="470"/>
    </row>
    <row r="328" spans="1:23" s="312" customFormat="1" x14ac:dyDescent="0.3">
      <c r="A328" s="338">
        <v>3</v>
      </c>
      <c r="B328" s="338"/>
      <c r="C328" s="338"/>
      <c r="D328" s="341"/>
      <c r="E328" s="338"/>
      <c r="F328" s="338"/>
      <c r="G328" s="338"/>
      <c r="H328" s="542"/>
      <c r="I328" s="339"/>
      <c r="J328" s="339"/>
      <c r="K328" s="338"/>
      <c r="L328" s="342"/>
      <c r="M328" s="338"/>
      <c r="N328" s="338"/>
      <c r="O328" s="338"/>
      <c r="P328" s="338"/>
      <c r="Q328" s="338"/>
      <c r="U328" s="470"/>
      <c r="V328" s="470"/>
      <c r="W328" s="470"/>
    </row>
    <row r="329" spans="1:23" s="312" customFormat="1" x14ac:dyDescent="0.3">
      <c r="A329" s="338">
        <v>4</v>
      </c>
      <c r="B329" s="338"/>
      <c r="C329" s="338"/>
      <c r="D329" s="341"/>
      <c r="E329" s="338"/>
      <c r="F329" s="338"/>
      <c r="G329" s="338"/>
      <c r="H329" s="542"/>
      <c r="I329" s="339"/>
      <c r="J329" s="339"/>
      <c r="K329" s="338"/>
      <c r="L329" s="342"/>
      <c r="M329" s="338"/>
      <c r="N329" s="338"/>
      <c r="O329" s="338"/>
      <c r="P329" s="338"/>
      <c r="Q329" s="338"/>
      <c r="U329" s="470"/>
      <c r="V329" s="470"/>
      <c r="W329" s="470"/>
    </row>
    <row r="330" spans="1:23" s="312" customFormat="1" x14ac:dyDescent="0.3">
      <c r="A330" s="338">
        <v>5</v>
      </c>
      <c r="B330" s="338"/>
      <c r="C330" s="338"/>
      <c r="D330" s="341"/>
      <c r="E330" s="338"/>
      <c r="F330" s="338"/>
      <c r="G330" s="338"/>
      <c r="H330" s="542"/>
      <c r="I330" s="339"/>
      <c r="J330" s="339"/>
      <c r="K330" s="338"/>
      <c r="L330" s="342"/>
      <c r="M330" s="338"/>
      <c r="N330" s="338"/>
      <c r="O330" s="338"/>
      <c r="P330" s="338"/>
      <c r="Q330" s="338"/>
      <c r="U330" s="470"/>
      <c r="V330" s="470"/>
      <c r="W330" s="470"/>
    </row>
    <row r="331" spans="1:23" s="312" customFormat="1" x14ac:dyDescent="0.3">
      <c r="A331" s="338">
        <v>6</v>
      </c>
      <c r="B331" s="338"/>
      <c r="C331" s="338"/>
      <c r="D331" s="341"/>
      <c r="E331" s="338"/>
      <c r="F331" s="338"/>
      <c r="G331" s="338"/>
      <c r="H331" s="542"/>
      <c r="I331" s="339"/>
      <c r="J331" s="339"/>
      <c r="K331" s="338"/>
      <c r="L331" s="342"/>
      <c r="M331" s="338"/>
      <c r="N331" s="338"/>
      <c r="O331" s="338"/>
      <c r="P331" s="338"/>
      <c r="Q331" s="347"/>
      <c r="U331" s="470"/>
      <c r="V331" s="470"/>
      <c r="W331" s="470"/>
    </row>
    <row r="332" spans="1:23" s="312" customFormat="1" x14ac:dyDescent="0.3">
      <c r="A332" s="338">
        <v>7</v>
      </c>
      <c r="B332" s="338"/>
      <c r="C332" s="338"/>
      <c r="D332" s="341"/>
      <c r="E332" s="338"/>
      <c r="F332" s="338"/>
      <c r="G332" s="338"/>
      <c r="H332" s="542"/>
      <c r="I332" s="339"/>
      <c r="J332" s="339"/>
      <c r="K332" s="338"/>
      <c r="L332" s="342"/>
      <c r="M332" s="338"/>
      <c r="N332" s="338"/>
      <c r="O332" s="338"/>
      <c r="P332" s="338"/>
      <c r="Q332" s="338"/>
      <c r="U332" s="470"/>
      <c r="V332" s="470"/>
      <c r="W332" s="470"/>
    </row>
    <row r="333" spans="1:23" s="312" customFormat="1" x14ac:dyDescent="0.3">
      <c r="A333" s="338">
        <v>8</v>
      </c>
      <c r="B333" s="338"/>
      <c r="C333" s="338"/>
      <c r="D333" s="341"/>
      <c r="E333" s="338"/>
      <c r="F333" s="338"/>
      <c r="G333" s="338"/>
      <c r="H333" s="542"/>
      <c r="I333" s="339"/>
      <c r="J333" s="339"/>
      <c r="K333" s="338"/>
      <c r="L333" s="342"/>
      <c r="M333" s="338"/>
      <c r="N333" s="338"/>
      <c r="O333" s="338"/>
      <c r="P333" s="338"/>
      <c r="Q333" s="338"/>
      <c r="U333" s="470"/>
      <c r="V333" s="470"/>
      <c r="W333" s="470"/>
    </row>
    <row r="334" spans="1:23" s="312" customFormat="1" x14ac:dyDescent="0.3">
      <c r="A334" s="338">
        <v>9</v>
      </c>
      <c r="B334" s="338"/>
      <c r="C334" s="338"/>
      <c r="D334" s="341"/>
      <c r="E334" s="338"/>
      <c r="F334" s="338"/>
      <c r="G334" s="338"/>
      <c r="H334" s="542"/>
      <c r="I334" s="339"/>
      <c r="J334" s="339"/>
      <c r="K334" s="338"/>
      <c r="L334" s="342"/>
      <c r="M334" s="338"/>
      <c r="N334" s="338"/>
      <c r="O334" s="338"/>
      <c r="P334" s="338"/>
      <c r="Q334" s="338"/>
      <c r="U334" s="470"/>
      <c r="V334" s="470"/>
      <c r="W334" s="470"/>
    </row>
    <row r="335" spans="1:23" s="312" customFormat="1" x14ac:dyDescent="0.3">
      <c r="A335" s="338">
        <v>10</v>
      </c>
      <c r="B335" s="338"/>
      <c r="C335" s="338"/>
      <c r="D335" s="341"/>
      <c r="E335" s="338"/>
      <c r="F335" s="338"/>
      <c r="G335" s="338"/>
      <c r="H335" s="542"/>
      <c r="I335" s="339"/>
      <c r="J335" s="339"/>
      <c r="K335" s="338"/>
      <c r="L335" s="342"/>
      <c r="M335" s="338"/>
      <c r="N335" s="338"/>
      <c r="O335" s="338"/>
      <c r="P335" s="338"/>
      <c r="Q335" s="338"/>
      <c r="U335" s="470"/>
      <c r="V335" s="470"/>
      <c r="W335" s="470"/>
    </row>
    <row r="336" spans="1:23" s="312" customFormat="1" x14ac:dyDescent="0.3">
      <c r="A336" s="338">
        <v>11</v>
      </c>
      <c r="B336" s="338"/>
      <c r="C336" s="338"/>
      <c r="D336" s="341"/>
      <c r="E336" s="338"/>
      <c r="F336" s="338"/>
      <c r="G336" s="338"/>
      <c r="H336" s="542"/>
      <c r="I336" s="339"/>
      <c r="J336" s="339"/>
      <c r="K336" s="338"/>
      <c r="L336" s="342"/>
      <c r="M336" s="338"/>
      <c r="N336" s="338"/>
      <c r="O336" s="338"/>
      <c r="P336" s="338"/>
      <c r="Q336" s="338"/>
      <c r="U336" s="470"/>
      <c r="V336" s="470"/>
      <c r="W336" s="470"/>
    </row>
    <row r="337" spans="1:23" s="312" customFormat="1" x14ac:dyDescent="0.3">
      <c r="A337" s="338">
        <v>12</v>
      </c>
      <c r="B337" s="338"/>
      <c r="C337" s="338"/>
      <c r="D337" s="341"/>
      <c r="E337" s="338"/>
      <c r="F337" s="338"/>
      <c r="G337" s="338"/>
      <c r="H337" s="542"/>
      <c r="I337" s="339"/>
      <c r="J337" s="339"/>
      <c r="K337" s="338"/>
      <c r="L337" s="342"/>
      <c r="M337" s="338"/>
      <c r="N337" s="338"/>
      <c r="O337" s="338"/>
      <c r="P337" s="338"/>
      <c r="Q337" s="338"/>
      <c r="U337" s="470"/>
      <c r="V337" s="470"/>
      <c r="W337" s="470"/>
    </row>
    <row r="338" spans="1:23" s="312" customFormat="1" x14ac:dyDescent="0.3">
      <c r="A338" s="338">
        <v>13</v>
      </c>
      <c r="B338" s="338"/>
      <c r="C338" s="338"/>
      <c r="D338" s="341"/>
      <c r="E338" s="338"/>
      <c r="F338" s="338"/>
      <c r="G338" s="338"/>
      <c r="H338" s="542"/>
      <c r="I338" s="339"/>
      <c r="J338" s="339"/>
      <c r="K338" s="338"/>
      <c r="L338" s="342"/>
      <c r="M338" s="338"/>
      <c r="N338" s="338"/>
      <c r="O338" s="338"/>
      <c r="P338" s="338"/>
      <c r="Q338" s="338"/>
      <c r="U338" s="470"/>
      <c r="V338" s="470"/>
      <c r="W338" s="470"/>
    </row>
    <row r="339" spans="1:23" s="312" customFormat="1" x14ac:dyDescent="0.3">
      <c r="A339" s="338">
        <v>14</v>
      </c>
      <c r="B339" s="338"/>
      <c r="C339" s="338"/>
      <c r="D339" s="341"/>
      <c r="E339" s="338"/>
      <c r="F339" s="338"/>
      <c r="G339" s="338"/>
      <c r="H339" s="542"/>
      <c r="I339" s="339"/>
      <c r="J339" s="339"/>
      <c r="K339" s="338"/>
      <c r="L339" s="342"/>
      <c r="M339" s="338"/>
      <c r="N339" s="338"/>
      <c r="O339" s="338"/>
      <c r="P339" s="338"/>
      <c r="Q339" s="347"/>
      <c r="U339" s="470"/>
      <c r="V339" s="470"/>
      <c r="W339" s="470"/>
    </row>
    <row r="340" spans="1:23" s="312" customFormat="1" x14ac:dyDescent="0.3">
      <c r="A340" s="338"/>
      <c r="B340" s="338"/>
      <c r="C340" s="338"/>
      <c r="D340" s="341"/>
      <c r="E340" s="338"/>
      <c r="F340" s="338"/>
      <c r="G340" s="338"/>
      <c r="H340" s="542"/>
      <c r="I340" s="339"/>
      <c r="J340" s="339"/>
      <c r="K340" s="338"/>
      <c r="L340" s="342"/>
      <c r="M340" s="338"/>
      <c r="N340" s="338"/>
      <c r="O340" s="338"/>
      <c r="P340" s="338"/>
      <c r="Q340" s="347"/>
      <c r="U340" s="470"/>
      <c r="V340" s="470"/>
      <c r="W340" s="470"/>
    </row>
    <row r="341" spans="1:23" s="312" customFormat="1" x14ac:dyDescent="0.3">
      <c r="A341" s="338"/>
      <c r="B341" s="338"/>
      <c r="C341" s="338"/>
      <c r="D341" s="338"/>
      <c r="E341" s="338"/>
      <c r="F341" s="338"/>
      <c r="G341" s="338"/>
      <c r="H341" s="544"/>
      <c r="I341" s="348"/>
      <c r="J341" s="348" t="s">
        <v>210</v>
      </c>
      <c r="K341" s="338">
        <f>SUM(K326:K334)</f>
        <v>0</v>
      </c>
      <c r="L341" s="338"/>
      <c r="M341" s="338"/>
      <c r="N341" s="338"/>
      <c r="O341" s="338"/>
      <c r="P341" s="338"/>
      <c r="U341" s="470"/>
      <c r="V341" s="470"/>
      <c r="W341" s="470"/>
    </row>
    <row r="342" spans="1:23" ht="15" thickBot="1" x14ac:dyDescent="0.35"/>
    <row r="343" spans="1:23" ht="15" thickBot="1" x14ac:dyDescent="0.35">
      <c r="A343" s="496" t="s">
        <v>303</v>
      </c>
      <c r="B343" s="497"/>
      <c r="C343" s="497"/>
      <c r="D343" s="497"/>
      <c r="E343" s="498"/>
    </row>
    <row r="344" spans="1:23" ht="15" thickBot="1" x14ac:dyDescent="0.35">
      <c r="A344" s="496" t="s">
        <v>143</v>
      </c>
      <c r="B344" s="497"/>
      <c r="C344" s="498"/>
      <c r="D344" s="499" t="s">
        <v>126</v>
      </c>
      <c r="E344" s="499" t="s">
        <v>144</v>
      </c>
    </row>
    <row r="345" spans="1:23" x14ac:dyDescent="0.3">
      <c r="A345" s="332" t="s">
        <v>187</v>
      </c>
      <c r="B345" s="333"/>
      <c r="C345" s="334"/>
      <c r="D345" s="335"/>
      <c r="E345" s="335"/>
    </row>
    <row r="346" spans="1:23" x14ac:dyDescent="0.3">
      <c r="A346" s="326" t="s">
        <v>149</v>
      </c>
      <c r="B346" s="327"/>
      <c r="C346" s="328"/>
      <c r="D346" s="320"/>
      <c r="E346" s="320"/>
    </row>
    <row r="347" spans="1:23" x14ac:dyDescent="0.3">
      <c r="A347" s="343" t="s">
        <v>151</v>
      </c>
      <c r="B347" s="344"/>
      <c r="C347" s="345"/>
      <c r="D347" s="346"/>
      <c r="E347" s="346"/>
    </row>
    <row r="348" spans="1:23" ht="15" thickBot="1" x14ac:dyDescent="0.35">
      <c r="A348" s="329" t="s">
        <v>142</v>
      </c>
      <c r="B348" s="330"/>
      <c r="C348" s="331"/>
      <c r="D348" s="321"/>
      <c r="E348" s="321"/>
    </row>
    <row r="350" spans="1:23" s="163" customFormat="1" ht="46.8" x14ac:dyDescent="0.3">
      <c r="A350" s="500" t="s">
        <v>206</v>
      </c>
      <c r="B350" s="500" t="s">
        <v>35</v>
      </c>
      <c r="C350" s="500" t="s">
        <v>189</v>
      </c>
      <c r="D350" s="500" t="s">
        <v>207</v>
      </c>
      <c r="E350" s="500" t="s">
        <v>194</v>
      </c>
      <c r="F350" s="500" t="s">
        <v>154</v>
      </c>
      <c r="G350" s="501" t="s">
        <v>97</v>
      </c>
      <c r="H350" s="550" t="s">
        <v>5</v>
      </c>
      <c r="I350" s="501" t="s">
        <v>145</v>
      </c>
      <c r="J350" s="501" t="s">
        <v>190</v>
      </c>
      <c r="K350" s="501" t="s">
        <v>211</v>
      </c>
      <c r="L350" s="501" t="s">
        <v>153</v>
      </c>
      <c r="M350" s="501" t="s">
        <v>191</v>
      </c>
      <c r="N350" s="501"/>
      <c r="O350" s="501"/>
      <c r="P350" s="501"/>
      <c r="Q350" s="501" t="s">
        <v>192</v>
      </c>
      <c r="U350" s="465"/>
      <c r="V350" s="465"/>
      <c r="W350" s="465"/>
    </row>
    <row r="351" spans="1:23" s="312" customFormat="1" x14ac:dyDescent="0.3">
      <c r="A351" s="338">
        <v>1</v>
      </c>
      <c r="B351" s="338"/>
      <c r="C351" s="338"/>
      <c r="D351" s="349"/>
      <c r="E351" s="338"/>
      <c r="F351" s="338"/>
      <c r="G351" s="338"/>
      <c r="H351" s="542"/>
      <c r="I351" s="339"/>
      <c r="J351" s="339"/>
      <c r="K351" s="338"/>
      <c r="L351" s="349"/>
      <c r="O351" s="338"/>
      <c r="P351" s="338"/>
      <c r="Q351" s="338"/>
      <c r="U351" s="470"/>
      <c r="V351" s="470"/>
      <c r="W351" s="470"/>
    </row>
    <row r="352" spans="1:23" s="312" customFormat="1" x14ac:dyDescent="0.3">
      <c r="A352" s="338"/>
      <c r="B352" s="338"/>
      <c r="C352" s="338"/>
      <c r="D352" s="349"/>
      <c r="E352" s="338"/>
      <c r="F352" s="338"/>
      <c r="G352" s="338"/>
      <c r="H352" s="542"/>
      <c r="I352" s="339"/>
      <c r="J352" s="339"/>
      <c r="K352" s="338"/>
      <c r="L352" s="349"/>
      <c r="M352" s="338"/>
      <c r="N352" s="338"/>
      <c r="O352" s="338"/>
      <c r="P352" s="338"/>
      <c r="Q352" s="338"/>
      <c r="U352" s="470"/>
      <c r="V352" s="470"/>
      <c r="W352" s="470"/>
    </row>
    <row r="353" spans="1:23" s="312" customFormat="1" x14ac:dyDescent="0.3">
      <c r="A353" s="338"/>
      <c r="B353" s="338"/>
      <c r="C353" s="338"/>
      <c r="D353" s="349"/>
      <c r="E353" s="338"/>
      <c r="F353" s="338"/>
      <c r="G353" s="338"/>
      <c r="H353" s="542"/>
      <c r="I353" s="339"/>
      <c r="J353" s="339"/>
      <c r="K353" s="338"/>
      <c r="L353" s="349"/>
      <c r="M353" s="338"/>
      <c r="N353" s="338"/>
      <c r="O353" s="338"/>
      <c r="P353" s="338"/>
      <c r="Q353" s="347"/>
      <c r="U353" s="470"/>
      <c r="V353" s="470"/>
      <c r="W353" s="470"/>
    </row>
    <row r="354" spans="1:23" s="312" customFormat="1" x14ac:dyDescent="0.3">
      <c r="A354" s="338"/>
      <c r="B354" s="338"/>
      <c r="C354" s="338"/>
      <c r="D354" s="338"/>
      <c r="E354" s="338"/>
      <c r="F354" s="338"/>
      <c r="G354" s="338"/>
      <c r="H354" s="544"/>
      <c r="I354" s="348"/>
      <c r="J354" s="348" t="s">
        <v>210</v>
      </c>
      <c r="K354" s="338">
        <f>SUM(K351:K353)</f>
        <v>0</v>
      </c>
      <c r="L354" s="338"/>
      <c r="M354" s="338"/>
      <c r="N354" s="338"/>
      <c r="O354" s="338"/>
      <c r="P354" s="338"/>
      <c r="U354" s="470"/>
      <c r="V354" s="470"/>
      <c r="W354" s="470"/>
    </row>
    <row r="355" spans="1:23" ht="15" thickBot="1" x14ac:dyDescent="0.35"/>
    <row r="356" spans="1:23" ht="15" thickBot="1" x14ac:dyDescent="0.35">
      <c r="A356" s="496" t="s">
        <v>306</v>
      </c>
      <c r="B356" s="497"/>
      <c r="C356" s="497"/>
      <c r="D356" s="497"/>
      <c r="E356" s="498"/>
    </row>
    <row r="357" spans="1:23" ht="15" thickBot="1" x14ac:dyDescent="0.35">
      <c r="A357" s="496" t="s">
        <v>143</v>
      </c>
      <c r="B357" s="497"/>
      <c r="C357" s="498"/>
      <c r="D357" s="499" t="s">
        <v>126</v>
      </c>
      <c r="E357" s="499" t="s">
        <v>144</v>
      </c>
    </row>
    <row r="358" spans="1:23" x14ac:dyDescent="0.3">
      <c r="A358" s="332" t="s">
        <v>187</v>
      </c>
      <c r="B358" s="333"/>
      <c r="C358" s="334"/>
      <c r="D358" s="335"/>
      <c r="E358" s="335"/>
    </row>
    <row r="359" spans="1:23" x14ac:dyDescent="0.3">
      <c r="A359" s="326" t="s">
        <v>149</v>
      </c>
      <c r="B359" s="327"/>
      <c r="C359" s="328"/>
      <c r="D359" s="320"/>
      <c r="E359" s="320"/>
    </row>
    <row r="360" spans="1:23" x14ac:dyDescent="0.3">
      <c r="A360" s="343" t="s">
        <v>151</v>
      </c>
      <c r="B360" s="344"/>
      <c r="C360" s="345"/>
      <c r="D360" s="346"/>
      <c r="E360" s="346"/>
    </row>
    <row r="361" spans="1:23" x14ac:dyDescent="0.3">
      <c r="A361" s="343" t="s">
        <v>142</v>
      </c>
      <c r="B361" s="344"/>
      <c r="C361" s="345"/>
      <c r="D361" s="346"/>
      <c r="E361" s="346"/>
    </row>
    <row r="362" spans="1:23" ht="15" thickBot="1" x14ac:dyDescent="0.35">
      <c r="A362" s="329" t="s">
        <v>125</v>
      </c>
      <c r="B362" s="330"/>
      <c r="C362" s="331"/>
      <c r="D362" s="321"/>
      <c r="E362" s="321"/>
    </row>
    <row r="364" spans="1:23" s="163" customFormat="1" ht="46.8" x14ac:dyDescent="0.3">
      <c r="A364" s="500" t="s">
        <v>206</v>
      </c>
      <c r="B364" s="500" t="s">
        <v>35</v>
      </c>
      <c r="C364" s="500" t="s">
        <v>189</v>
      </c>
      <c r="D364" s="500" t="s">
        <v>207</v>
      </c>
      <c r="E364" s="500" t="s">
        <v>96</v>
      </c>
      <c r="F364" s="500" t="s">
        <v>16</v>
      </c>
      <c r="G364" s="501" t="s">
        <v>97</v>
      </c>
      <c r="H364" s="550" t="s">
        <v>5</v>
      </c>
      <c r="I364" s="501" t="s">
        <v>145</v>
      </c>
      <c r="J364" s="501" t="s">
        <v>190</v>
      </c>
      <c r="K364" s="501" t="s">
        <v>211</v>
      </c>
      <c r="L364" s="501" t="s">
        <v>153</v>
      </c>
      <c r="M364" s="501" t="s">
        <v>191</v>
      </c>
      <c r="N364" s="501" t="s">
        <v>212</v>
      </c>
      <c r="O364" s="501"/>
      <c r="P364" s="501"/>
      <c r="Q364" s="501" t="s">
        <v>192</v>
      </c>
      <c r="U364" s="465"/>
      <c r="V364" s="465"/>
      <c r="W364" s="465"/>
    </row>
    <row r="365" spans="1:23" s="312" customFormat="1" x14ac:dyDescent="0.3">
      <c r="A365" s="338">
        <v>1</v>
      </c>
      <c r="B365" s="338"/>
      <c r="C365" s="338"/>
      <c r="D365" s="341"/>
      <c r="E365" s="338"/>
      <c r="F365" s="338"/>
      <c r="G365" s="338"/>
      <c r="H365" s="542"/>
      <c r="I365" s="339"/>
      <c r="J365" s="339"/>
      <c r="K365" s="338"/>
      <c r="L365" s="342"/>
      <c r="O365" s="338"/>
      <c r="P365" s="338"/>
      <c r="Q365" s="338"/>
      <c r="U365" s="470"/>
      <c r="V365" s="470"/>
      <c r="W365" s="470"/>
    </row>
    <row r="366" spans="1:23" s="312" customFormat="1" x14ac:dyDescent="0.3">
      <c r="A366" s="338">
        <v>2</v>
      </c>
      <c r="B366" s="338"/>
      <c r="C366" s="338"/>
      <c r="D366" s="341"/>
      <c r="E366" s="338"/>
      <c r="F366" s="338"/>
      <c r="G366" s="338"/>
      <c r="H366" s="542"/>
      <c r="I366" s="339"/>
      <c r="J366" s="339"/>
      <c r="K366" s="338"/>
      <c r="L366" s="342"/>
      <c r="M366" s="338"/>
      <c r="N366" s="338"/>
      <c r="O366" s="338"/>
      <c r="P366" s="338"/>
      <c r="Q366" s="338"/>
      <c r="U366" s="470"/>
      <c r="V366" s="470"/>
      <c r="W366" s="470"/>
    </row>
    <row r="367" spans="1:23" s="312" customFormat="1" x14ac:dyDescent="0.3">
      <c r="A367" s="338">
        <v>3</v>
      </c>
      <c r="B367" s="338"/>
      <c r="C367" s="338"/>
      <c r="D367" s="341"/>
      <c r="E367" s="338"/>
      <c r="F367" s="338"/>
      <c r="G367" s="338"/>
      <c r="H367" s="542"/>
      <c r="I367" s="339"/>
      <c r="J367" s="339"/>
      <c r="K367" s="338"/>
      <c r="L367" s="342"/>
      <c r="M367" s="338"/>
      <c r="N367" s="338"/>
      <c r="O367" s="338"/>
      <c r="P367" s="338"/>
      <c r="Q367" s="338"/>
      <c r="U367" s="470"/>
      <c r="V367" s="470"/>
      <c r="W367" s="470"/>
    </row>
    <row r="368" spans="1:23" s="312" customFormat="1" x14ac:dyDescent="0.3">
      <c r="A368" s="338">
        <v>4</v>
      </c>
      <c r="B368" s="338"/>
      <c r="C368" s="338"/>
      <c r="D368" s="341"/>
      <c r="E368" s="338"/>
      <c r="F368" s="338"/>
      <c r="G368" s="338"/>
      <c r="H368" s="542"/>
      <c r="I368" s="339"/>
      <c r="J368" s="339"/>
      <c r="K368" s="338"/>
      <c r="L368" s="342"/>
      <c r="M368" s="338"/>
      <c r="N368" s="338"/>
      <c r="O368" s="338"/>
      <c r="P368" s="338"/>
      <c r="Q368" s="347"/>
      <c r="U368" s="470"/>
      <c r="V368" s="470"/>
      <c r="W368" s="470"/>
    </row>
    <row r="369" spans="1:23" s="312" customFormat="1" x14ac:dyDescent="0.3">
      <c r="A369" s="338">
        <v>5</v>
      </c>
      <c r="B369" s="338"/>
      <c r="C369" s="338"/>
      <c r="D369" s="341"/>
      <c r="E369" s="338"/>
      <c r="F369" s="338"/>
      <c r="G369" s="338"/>
      <c r="H369" s="542"/>
      <c r="I369" s="339"/>
      <c r="J369" s="339"/>
      <c r="K369" s="338"/>
      <c r="L369" s="342"/>
      <c r="M369" s="338"/>
      <c r="N369" s="338"/>
      <c r="O369" s="338"/>
      <c r="P369" s="338"/>
      <c r="Q369" s="347"/>
      <c r="U369" s="470"/>
      <c r="V369" s="470"/>
      <c r="W369" s="470"/>
    </row>
    <row r="370" spans="1:23" s="312" customFormat="1" x14ac:dyDescent="0.3">
      <c r="A370" s="338"/>
      <c r="B370" s="338"/>
      <c r="C370" s="338"/>
      <c r="D370" s="338"/>
      <c r="E370" s="338"/>
      <c r="F370" s="338"/>
      <c r="G370" s="338"/>
      <c r="H370" s="544"/>
      <c r="I370" s="348"/>
      <c r="J370" s="348" t="s">
        <v>210</v>
      </c>
      <c r="K370" s="338">
        <f>SUM(K365:K369)</f>
        <v>0</v>
      </c>
      <c r="L370" s="338"/>
      <c r="M370" s="338"/>
      <c r="N370" s="338"/>
      <c r="O370" s="338"/>
      <c r="P370" s="338"/>
      <c r="U370" s="470"/>
      <c r="V370" s="470"/>
      <c r="W370" s="470"/>
    </row>
    <row r="371" spans="1:23" ht="15" thickBot="1" x14ac:dyDescent="0.35"/>
    <row r="372" spans="1:23" ht="15" thickBot="1" x14ac:dyDescent="0.35">
      <c r="A372" s="496" t="s">
        <v>304</v>
      </c>
      <c r="B372" s="497"/>
      <c r="C372" s="497"/>
      <c r="D372" s="497"/>
      <c r="E372" s="498"/>
    </row>
    <row r="373" spans="1:23" ht="15" thickBot="1" x14ac:dyDescent="0.35">
      <c r="A373" s="496" t="s">
        <v>143</v>
      </c>
      <c r="B373" s="497"/>
      <c r="C373" s="498"/>
      <c r="D373" s="499" t="s">
        <v>126</v>
      </c>
      <c r="E373" s="499" t="s">
        <v>144</v>
      </c>
    </row>
    <row r="374" spans="1:23" x14ac:dyDescent="0.3">
      <c r="A374" s="332" t="s">
        <v>187</v>
      </c>
      <c r="B374" s="333"/>
      <c r="C374" s="334"/>
      <c r="D374" s="335"/>
      <c r="E374" s="335"/>
    </row>
    <row r="375" spans="1:23" x14ac:dyDescent="0.3">
      <c r="A375" s="326" t="s">
        <v>155</v>
      </c>
      <c r="B375" s="327"/>
      <c r="C375" s="328"/>
      <c r="D375" s="320"/>
      <c r="E375" s="320"/>
    </row>
    <row r="376" spans="1:23" x14ac:dyDescent="0.3">
      <c r="A376" s="343" t="s">
        <v>125</v>
      </c>
      <c r="B376" s="344"/>
      <c r="C376" s="345"/>
      <c r="D376" s="346"/>
      <c r="E376" s="346"/>
    </row>
    <row r="377" spans="1:23" x14ac:dyDescent="0.3">
      <c r="A377" s="343" t="s">
        <v>195</v>
      </c>
      <c r="B377" s="344"/>
      <c r="C377" s="345"/>
      <c r="D377" s="346"/>
      <c r="E377" s="346"/>
    </row>
    <row r="378" spans="1:23" ht="15" thickBot="1" x14ac:dyDescent="0.35">
      <c r="A378" s="329"/>
      <c r="B378" s="330"/>
      <c r="C378" s="331"/>
      <c r="D378" s="321"/>
      <c r="E378" s="321"/>
    </row>
    <row r="379" spans="1:23" ht="15" thickBot="1" x14ac:dyDescent="0.35"/>
    <row r="380" spans="1:23" ht="15" thickBot="1" x14ac:dyDescent="0.35">
      <c r="A380" s="496" t="s">
        <v>305</v>
      </c>
      <c r="B380" s="497"/>
      <c r="C380" s="497"/>
      <c r="D380" s="497"/>
      <c r="E380" s="498"/>
    </row>
    <row r="381" spans="1:23" ht="15" thickBot="1" x14ac:dyDescent="0.35">
      <c r="A381" s="496" t="s">
        <v>143</v>
      </c>
      <c r="B381" s="497"/>
      <c r="C381" s="498"/>
      <c r="D381" s="499" t="s">
        <v>126</v>
      </c>
      <c r="E381" s="499" t="s">
        <v>144</v>
      </c>
    </row>
    <row r="382" spans="1:23" x14ac:dyDescent="0.3">
      <c r="A382" s="332" t="s">
        <v>187</v>
      </c>
      <c r="B382" s="333"/>
      <c r="C382" s="334"/>
      <c r="D382" s="335"/>
      <c r="E382" s="335"/>
    </row>
    <row r="383" spans="1:23" x14ac:dyDescent="0.3">
      <c r="A383" s="326" t="s">
        <v>149</v>
      </c>
      <c r="B383" s="327"/>
      <c r="C383" s="328"/>
      <c r="D383" s="320"/>
      <c r="E383" s="320"/>
    </row>
    <row r="384" spans="1:23" x14ac:dyDescent="0.3">
      <c r="A384" s="343" t="s">
        <v>156</v>
      </c>
      <c r="B384" s="344"/>
      <c r="C384" s="345"/>
      <c r="D384" s="346"/>
      <c r="E384" s="346"/>
    </row>
    <row r="385" spans="1:6" x14ac:dyDescent="0.3">
      <c r="A385" s="343" t="s">
        <v>142</v>
      </c>
      <c r="B385" s="344"/>
      <c r="C385" s="345"/>
      <c r="D385" s="346"/>
      <c r="E385" s="346"/>
    </row>
    <row r="386" spans="1:6" ht="15" thickBot="1" x14ac:dyDescent="0.35">
      <c r="A386" s="329" t="s">
        <v>125</v>
      </c>
      <c r="B386" s="330"/>
      <c r="C386" s="331"/>
      <c r="D386" s="321"/>
      <c r="E386" s="321"/>
    </row>
    <row r="387" spans="1:6" ht="15" thickBot="1" x14ac:dyDescent="0.35"/>
    <row r="388" spans="1:6" ht="15" thickBot="1" x14ac:dyDescent="0.35">
      <c r="A388" s="496" t="s">
        <v>157</v>
      </c>
      <c r="B388" s="497"/>
      <c r="C388" s="497"/>
      <c r="D388" s="497"/>
      <c r="E388" s="498"/>
    </row>
    <row r="389" spans="1:6" ht="15" thickBot="1" x14ac:dyDescent="0.35">
      <c r="A389" s="496" t="s">
        <v>143</v>
      </c>
      <c r="B389" s="497"/>
      <c r="C389" s="498"/>
      <c r="D389" s="499" t="s">
        <v>126</v>
      </c>
      <c r="E389" s="499" t="s">
        <v>144</v>
      </c>
      <c r="F389" s="499" t="s">
        <v>36</v>
      </c>
    </row>
    <row r="390" spans="1:6" x14ac:dyDescent="0.3">
      <c r="A390" s="332" t="s">
        <v>158</v>
      </c>
      <c r="B390" s="333"/>
      <c r="C390" s="334"/>
      <c r="D390" s="335"/>
      <c r="E390" s="335"/>
      <c r="F390" s="366"/>
    </row>
    <row r="391" spans="1:6" x14ac:dyDescent="0.3">
      <c r="A391" s="332" t="s">
        <v>159</v>
      </c>
      <c r="B391" s="327"/>
      <c r="C391" s="328"/>
      <c r="D391" s="320"/>
      <c r="E391" s="320"/>
      <c r="F391" s="367"/>
    </row>
    <row r="392" spans="1:6" x14ac:dyDescent="0.3">
      <c r="A392" s="343" t="s">
        <v>196</v>
      </c>
      <c r="B392" s="344"/>
      <c r="C392" s="345"/>
      <c r="D392" s="346"/>
      <c r="E392" s="346"/>
      <c r="F392" s="368"/>
    </row>
    <row r="393" spans="1:6" x14ac:dyDescent="0.3">
      <c r="A393" s="343"/>
      <c r="B393" s="344"/>
      <c r="C393" s="345"/>
      <c r="D393" s="346"/>
      <c r="E393" s="346"/>
      <c r="F393" s="368"/>
    </row>
    <row r="394" spans="1:6" ht="15" thickBot="1" x14ac:dyDescent="0.35">
      <c r="A394" s="343"/>
      <c r="B394" s="344"/>
      <c r="C394" s="345"/>
      <c r="D394" s="346"/>
      <c r="E394" s="346"/>
      <c r="F394" s="368"/>
    </row>
    <row r="395" spans="1:6" ht="15" thickBot="1" x14ac:dyDescent="0.35">
      <c r="A395" s="336" t="s">
        <v>197</v>
      </c>
      <c r="B395" s="197"/>
      <c r="C395" s="197"/>
      <c r="D395" s="364"/>
      <c r="E395" s="365"/>
      <c r="F395" s="369"/>
    </row>
    <row r="396" spans="1:6" ht="15" thickBot="1" x14ac:dyDescent="0.35">
      <c r="A396" s="336" t="s">
        <v>198</v>
      </c>
      <c r="B396" s="197"/>
      <c r="C396" s="197"/>
      <c r="D396" s="364"/>
      <c r="E396" s="365"/>
      <c r="F396" s="369"/>
    </row>
    <row r="397" spans="1:6" x14ac:dyDescent="0.3">
      <c r="A397" s="361" t="s">
        <v>199</v>
      </c>
      <c r="B397" s="196"/>
      <c r="C397" s="362"/>
      <c r="D397" s="363"/>
      <c r="E397" s="363"/>
      <c r="F397" s="370"/>
    </row>
    <row r="398" spans="1:6" ht="15" thickBot="1" x14ac:dyDescent="0.35">
      <c r="A398" s="329"/>
      <c r="B398" s="330"/>
      <c r="C398" s="331"/>
      <c r="D398" s="321"/>
      <c r="E398" s="321"/>
      <c r="F398" s="321"/>
    </row>
    <row r="399" spans="1:6" ht="15" thickBot="1" x14ac:dyDescent="0.35"/>
    <row r="400" spans="1:6" ht="15" thickBot="1" x14ac:dyDescent="0.35">
      <c r="A400" s="496" t="s">
        <v>160</v>
      </c>
      <c r="B400" s="497"/>
      <c r="C400" s="497"/>
      <c r="D400" s="497"/>
      <c r="E400" s="498"/>
    </row>
    <row r="401" spans="1:23" ht="15" thickBot="1" x14ac:dyDescent="0.35">
      <c r="A401" s="496" t="s">
        <v>143</v>
      </c>
      <c r="B401" s="497"/>
      <c r="C401" s="498"/>
      <c r="D401" s="499" t="s">
        <v>126</v>
      </c>
      <c r="E401" s="499" t="s">
        <v>144</v>
      </c>
    </row>
    <row r="402" spans="1:23" x14ac:dyDescent="0.3">
      <c r="A402" s="332" t="s">
        <v>207</v>
      </c>
      <c r="B402" s="333"/>
      <c r="C402" s="334"/>
      <c r="D402" s="335"/>
      <c r="E402" s="335"/>
    </row>
    <row r="403" spans="1:23" ht="15" thickBot="1" x14ac:dyDescent="0.35">
      <c r="A403" s="270"/>
      <c r="B403" s="196"/>
      <c r="C403" s="196"/>
      <c r="D403" s="325"/>
      <c r="E403" s="325"/>
      <c r="F403" s="371"/>
    </row>
    <row r="404" spans="1:23" ht="15" thickBot="1" x14ac:dyDescent="0.35">
      <c r="A404" s="496" t="s">
        <v>161</v>
      </c>
      <c r="B404" s="497"/>
      <c r="C404" s="497"/>
      <c r="D404" s="497"/>
      <c r="E404" s="498"/>
    </row>
    <row r="405" spans="1:23" ht="15" thickBot="1" x14ac:dyDescent="0.35">
      <c r="A405" s="496" t="s">
        <v>143</v>
      </c>
      <c r="B405" s="497"/>
      <c r="C405" s="498"/>
      <c r="D405" s="499" t="s">
        <v>126</v>
      </c>
      <c r="E405" s="499" t="s">
        <v>144</v>
      </c>
      <c r="F405" s="499" t="s">
        <v>162</v>
      </c>
      <c r="G405" s="499" t="s">
        <v>164</v>
      </c>
    </row>
    <row r="406" spans="1:23" x14ac:dyDescent="0.3">
      <c r="A406" s="317" t="s">
        <v>213</v>
      </c>
      <c r="B406" s="318"/>
      <c r="C406" s="318"/>
      <c r="D406" s="373"/>
      <c r="E406" s="373"/>
      <c r="F406" s="374"/>
      <c r="G406" s="375"/>
    </row>
    <row r="407" spans="1:23" ht="15" thickBot="1" x14ac:dyDescent="0.35">
      <c r="A407" s="379" t="s">
        <v>163</v>
      </c>
      <c r="B407" s="195"/>
      <c r="C407" s="195"/>
      <c r="D407" s="380"/>
      <c r="E407" s="380"/>
      <c r="F407" s="381"/>
      <c r="G407" s="382"/>
    </row>
    <row r="408" spans="1:23" x14ac:dyDescent="0.3">
      <c r="A408" s="317" t="s">
        <v>200</v>
      </c>
      <c r="B408" s="318"/>
      <c r="C408" s="318"/>
      <c r="D408" s="373"/>
      <c r="E408" s="373"/>
      <c r="F408" s="383"/>
      <c r="G408" s="384"/>
    </row>
    <row r="409" spans="1:23" x14ac:dyDescent="0.3">
      <c r="A409" s="319" t="s">
        <v>213</v>
      </c>
      <c r="B409" s="184"/>
      <c r="C409" s="184"/>
      <c r="D409" s="376"/>
      <c r="E409" s="376"/>
      <c r="F409" s="274"/>
      <c r="G409" s="377"/>
    </row>
    <row r="410" spans="1:23" x14ac:dyDescent="0.3">
      <c r="A410" s="319" t="s">
        <v>163</v>
      </c>
      <c r="B410" s="184"/>
      <c r="C410" s="184"/>
      <c r="D410" s="376"/>
      <c r="E410" s="376"/>
      <c r="F410" s="274"/>
      <c r="G410" s="377"/>
    </row>
    <row r="411" spans="1:23" x14ac:dyDescent="0.3">
      <c r="A411" s="319" t="s">
        <v>201</v>
      </c>
      <c r="B411" s="184"/>
      <c r="C411" s="184"/>
      <c r="D411" s="376"/>
      <c r="E411" s="376"/>
      <c r="F411" s="274"/>
      <c r="G411" s="377"/>
    </row>
    <row r="412" spans="1:23" x14ac:dyDescent="0.3">
      <c r="A412" s="503" t="s">
        <v>202</v>
      </c>
      <c r="B412" s="504"/>
      <c r="C412" s="504"/>
      <c r="D412" s="505"/>
      <c r="E412" s="506"/>
      <c r="F412" s="507"/>
      <c r="G412" s="370"/>
    </row>
    <row r="413" spans="1:23" ht="15" thickBot="1" x14ac:dyDescent="0.35">
      <c r="A413" s="270"/>
      <c r="B413" s="196"/>
      <c r="C413" s="196"/>
      <c r="D413" s="404"/>
      <c r="E413" s="325"/>
      <c r="F413" s="405"/>
      <c r="G413" s="406"/>
      <c r="H413" s="548"/>
      <c r="I413" s="172"/>
      <c r="J413" s="172"/>
      <c r="K413" s="172"/>
      <c r="L413" s="172"/>
      <c r="M413" s="172"/>
      <c r="N413" s="172"/>
      <c r="O413" s="172"/>
    </row>
    <row r="414" spans="1:23" ht="26.4" thickBot="1" x14ac:dyDescent="0.55000000000000004">
      <c r="A414" s="565" t="s">
        <v>375</v>
      </c>
      <c r="B414" s="566"/>
      <c r="C414" s="566"/>
      <c r="D414" s="566"/>
      <c r="E414" s="566"/>
      <c r="F414" s="566"/>
      <c r="G414" s="566"/>
      <c r="H414" s="567"/>
      <c r="I414" s="566"/>
      <c r="J414" s="566"/>
      <c r="K414" s="566"/>
      <c r="L414" s="566"/>
      <c r="M414" s="566"/>
      <c r="N414" s="566"/>
      <c r="O414" s="566"/>
      <c r="P414" s="568"/>
    </row>
    <row r="415" spans="1:23" s="163" customFormat="1" ht="15" thickBot="1" x14ac:dyDescent="0.35">
      <c r="A415" s="412" t="str">
        <f>+Experiencia!C18</f>
        <v>CONSORCIO JRL</v>
      </c>
      <c r="B415" s="402"/>
      <c r="C415" s="402"/>
      <c r="D415" s="402"/>
      <c r="E415" s="402"/>
      <c r="F415" s="402"/>
      <c r="G415" s="402"/>
      <c r="H415" s="546"/>
      <c r="I415" s="402"/>
      <c r="J415" s="402"/>
      <c r="K415" s="402"/>
      <c r="L415" s="402"/>
      <c r="M415" s="402"/>
      <c r="N415" s="402"/>
      <c r="O415" s="403"/>
      <c r="P415" s="170"/>
      <c r="U415" s="465"/>
      <c r="V415" s="465"/>
      <c r="W415" s="465"/>
    </row>
    <row r="416" spans="1:23" s="169" customFormat="1" ht="35.4" x14ac:dyDescent="0.3">
      <c r="A416" s="180" t="s">
        <v>2</v>
      </c>
      <c r="B416" s="182" t="s">
        <v>189</v>
      </c>
      <c r="C416" s="181" t="s">
        <v>35</v>
      </c>
      <c r="D416" s="182" t="s">
        <v>96</v>
      </c>
      <c r="E416" s="182" t="s">
        <v>165</v>
      </c>
      <c r="F416" s="182" t="s">
        <v>97</v>
      </c>
      <c r="G416" s="182" t="s">
        <v>5</v>
      </c>
      <c r="H416" s="536" t="s">
        <v>99</v>
      </c>
      <c r="I416" s="182" t="s">
        <v>203</v>
      </c>
      <c r="J416" s="182" t="s">
        <v>141</v>
      </c>
      <c r="K416" s="182" t="s">
        <v>224</v>
      </c>
      <c r="L416" s="182" t="s">
        <v>204</v>
      </c>
      <c r="M416" s="182" t="s">
        <v>140</v>
      </c>
      <c r="N416" s="182" t="s">
        <v>214</v>
      </c>
      <c r="O416" s="182" t="s">
        <v>100</v>
      </c>
      <c r="P416" s="182" t="s">
        <v>94</v>
      </c>
      <c r="Q416" s="171"/>
      <c r="U416" s="465"/>
      <c r="V416" s="465"/>
      <c r="W416" s="465"/>
    </row>
    <row r="417" spans="1:30" s="312" customFormat="1" ht="48.6" customHeight="1" x14ac:dyDescent="0.3">
      <c r="A417" s="305">
        <v>1</v>
      </c>
      <c r="B417" s="305"/>
      <c r="C417" s="305"/>
      <c r="D417" s="305"/>
      <c r="E417" s="305"/>
      <c r="F417" s="305"/>
      <c r="G417" s="305"/>
      <c r="H417" s="537"/>
      <c r="I417" s="313"/>
      <c r="J417" s="306"/>
      <c r="K417" s="307"/>
      <c r="L417" s="308"/>
      <c r="M417" s="308"/>
      <c r="N417" s="309"/>
      <c r="O417" s="309"/>
      <c r="P417" s="310"/>
      <c r="Q417" s="311"/>
      <c r="U417" s="470"/>
      <c r="V417" s="470"/>
      <c r="W417" s="470"/>
    </row>
    <row r="418" spans="1:30" s="312" customFormat="1" ht="46.2" customHeight="1" x14ac:dyDescent="0.3">
      <c r="A418" s="305">
        <v>2</v>
      </c>
      <c r="B418" s="305"/>
      <c r="C418" s="305"/>
      <c r="D418" s="305"/>
      <c r="E418" s="305"/>
      <c r="F418" s="305"/>
      <c r="G418" s="305"/>
      <c r="H418" s="537"/>
      <c r="I418" s="313"/>
      <c r="J418" s="306"/>
      <c r="K418" s="307"/>
      <c r="L418" s="308"/>
      <c r="M418" s="308"/>
      <c r="N418" s="309"/>
      <c r="O418" s="309"/>
      <c r="P418" s="310"/>
      <c r="Q418" s="311"/>
      <c r="U418" s="470"/>
      <c r="V418" s="470"/>
      <c r="W418" s="470"/>
    </row>
    <row r="419" spans="1:30" s="163" customFormat="1" ht="38.4" customHeight="1" x14ac:dyDescent="0.3">
      <c r="A419" s="183">
        <v>3</v>
      </c>
      <c r="B419" s="183"/>
      <c r="C419" s="183"/>
      <c r="D419" s="183"/>
      <c r="E419" s="183"/>
      <c r="F419" s="305"/>
      <c r="G419" s="186"/>
      <c r="H419" s="538"/>
      <c r="I419" s="304"/>
      <c r="J419" s="306"/>
      <c r="K419" s="305"/>
      <c r="L419" s="308"/>
      <c r="M419" s="308"/>
      <c r="N419" s="309"/>
      <c r="O419" s="309"/>
      <c r="P419" s="360"/>
      <c r="Q419" s="315"/>
      <c r="R419" s="314"/>
      <c r="U419" s="465"/>
      <c r="V419" s="465"/>
      <c r="W419" s="465"/>
    </row>
    <row r="420" spans="1:30" s="312" customFormat="1" ht="45.6" customHeight="1" x14ac:dyDescent="0.3">
      <c r="A420" s="305">
        <v>4</v>
      </c>
      <c r="B420" s="183"/>
      <c r="C420" s="183"/>
      <c r="D420" s="183"/>
      <c r="E420" s="183"/>
      <c r="F420" s="305"/>
      <c r="G420" s="186"/>
      <c r="H420" s="538"/>
      <c r="I420" s="304"/>
      <c r="J420" s="306"/>
      <c r="K420" s="305"/>
      <c r="L420" s="308"/>
      <c r="M420" s="308"/>
      <c r="N420" s="309"/>
      <c r="O420" s="309"/>
      <c r="P420" s="310"/>
      <c r="Q420" s="311"/>
      <c r="U420" s="470"/>
      <c r="V420" s="470"/>
      <c r="W420" s="470"/>
    </row>
    <row r="421" spans="1:30" s="163" customFormat="1" x14ac:dyDescent="0.3">
      <c r="A421" s="183">
        <v>5</v>
      </c>
      <c r="B421" s="183"/>
      <c r="C421" s="183"/>
      <c r="D421" s="183"/>
      <c r="E421" s="183"/>
      <c r="F421" s="183"/>
      <c r="G421" s="186"/>
      <c r="H421" s="538"/>
      <c r="I421" s="304"/>
      <c r="J421" s="306"/>
      <c r="K421" s="186"/>
      <c r="L421" s="188"/>
      <c r="M421" s="188"/>
      <c r="N421" s="316"/>
      <c r="O421" s="309"/>
      <c r="P421" s="310"/>
      <c r="Q421" s="173"/>
      <c r="U421" s="465"/>
      <c r="V421" s="465"/>
      <c r="W421" s="465"/>
    </row>
    <row r="422" spans="1:30" s="163" customFormat="1" x14ac:dyDescent="0.3">
      <c r="A422" s="183"/>
      <c r="B422" s="183"/>
      <c r="C422" s="183"/>
      <c r="D422" s="183"/>
      <c r="E422" s="183"/>
      <c r="F422" s="183"/>
      <c r="G422" s="186"/>
      <c r="H422" s="538"/>
      <c r="I422" s="304"/>
      <c r="J422" s="186"/>
      <c r="K422" s="186"/>
      <c r="L422" s="188"/>
      <c r="M422" s="188"/>
      <c r="N422" s="188"/>
      <c r="O422" s="188"/>
      <c r="P422" s="185"/>
      <c r="Q422" s="173"/>
      <c r="U422" s="465"/>
      <c r="V422" s="465"/>
      <c r="W422" s="465"/>
    </row>
    <row r="423" spans="1:30" s="163" customFormat="1" ht="15" thickBot="1" x14ac:dyDescent="0.35">
      <c r="A423" s="183"/>
      <c r="B423" s="183"/>
      <c r="C423" s="183"/>
      <c r="D423" s="183"/>
      <c r="E423" s="183"/>
      <c r="F423" s="183"/>
      <c r="G423" s="186"/>
      <c r="H423" s="538"/>
      <c r="I423" s="187"/>
      <c r="J423" s="186"/>
      <c r="K423" s="186"/>
      <c r="L423" s="188"/>
      <c r="M423" s="188"/>
      <c r="N423" s="188"/>
      <c r="O423" s="188"/>
      <c r="P423" s="185"/>
      <c r="Q423" s="173"/>
      <c r="U423" s="465"/>
      <c r="V423" s="465"/>
      <c r="W423" s="465"/>
    </row>
    <row r="424" spans="1:30" s="163" customFormat="1" ht="29.4" thickBot="1" x14ac:dyDescent="0.35">
      <c r="A424" s="189"/>
      <c r="B424" s="189"/>
      <c r="C424" s="189"/>
      <c r="D424" s="189"/>
      <c r="E424" s="189"/>
      <c r="F424" s="189"/>
      <c r="G424" s="476" t="s">
        <v>234</v>
      </c>
      <c r="H424" s="539"/>
      <c r="I424" s="190"/>
      <c r="J424" s="190"/>
      <c r="K424" s="190"/>
      <c r="L424" s="191"/>
      <c r="M424" s="191"/>
      <c r="N424" s="198">
        <f>SUM(N417:N423)</f>
        <v>0</v>
      </c>
      <c r="O424" s="192"/>
      <c r="P424" s="193"/>
      <c r="Q424" s="173"/>
      <c r="U424" s="480" t="s">
        <v>250</v>
      </c>
      <c r="V424" s="465" t="s">
        <v>251</v>
      </c>
      <c r="W424" s="482" t="s">
        <v>252</v>
      </c>
      <c r="X424" s="480" t="s">
        <v>250</v>
      </c>
      <c r="Y424" s="465" t="s">
        <v>251</v>
      </c>
      <c r="Z424" s="482" t="s">
        <v>252</v>
      </c>
      <c r="AB424" s="480" t="s">
        <v>250</v>
      </c>
      <c r="AC424" s="465" t="s">
        <v>251</v>
      </c>
      <c r="AD424" s="482" t="s">
        <v>252</v>
      </c>
    </row>
    <row r="425" spans="1:30" s="163" customFormat="1" ht="15.75" customHeight="1" thickBot="1" x14ac:dyDescent="0.35">
      <c r="A425" s="189"/>
      <c r="B425" s="189"/>
      <c r="C425" s="189"/>
      <c r="D425" s="189"/>
      <c r="E425" s="189"/>
      <c r="F425" s="189"/>
      <c r="G425" s="476" t="s">
        <v>235</v>
      </c>
      <c r="H425" s="539"/>
      <c r="I425" s="190"/>
      <c r="J425" s="190"/>
      <c r="K425" s="190"/>
      <c r="L425" s="190"/>
      <c r="M425" s="190"/>
      <c r="N425" s="198"/>
      <c r="O425" s="194">
        <f>SUM(O417:O424)</f>
        <v>0</v>
      </c>
      <c r="P425" s="189"/>
      <c r="Q425" s="173"/>
      <c r="U425" s="474">
        <v>40224</v>
      </c>
      <c r="V425" s="474">
        <v>40359</v>
      </c>
      <c r="W425" s="475">
        <f>+((V425-U425)+1)/30</f>
        <v>4.5333333333333332</v>
      </c>
      <c r="X425" s="474">
        <v>40926</v>
      </c>
      <c r="Y425" s="474">
        <v>41068</v>
      </c>
      <c r="Z425" s="475">
        <f>+((Y425-X425)+1)/30</f>
        <v>4.7666666666666666</v>
      </c>
      <c r="AB425" s="474">
        <v>41457</v>
      </c>
      <c r="AC425" s="474">
        <v>41506</v>
      </c>
      <c r="AD425" s="475">
        <f>+((AC425-AB425)+1)/30</f>
        <v>1.6666666666666667</v>
      </c>
    </row>
    <row r="426" spans="1:30" ht="15" thickBot="1" x14ac:dyDescent="0.35">
      <c r="U426" s="464">
        <v>40410</v>
      </c>
      <c r="V426" s="464">
        <v>40448</v>
      </c>
      <c r="W426" s="475">
        <f>+((V426-U426)+1)/30</f>
        <v>1.3</v>
      </c>
      <c r="X426" s="485">
        <v>41164</v>
      </c>
      <c r="Y426" s="485">
        <v>41230</v>
      </c>
      <c r="Z426" s="475">
        <f>+((Y426-X426)+1)/30</f>
        <v>2.2333333333333334</v>
      </c>
      <c r="AB426" s="485">
        <v>41519</v>
      </c>
      <c r="AC426" s="485">
        <v>41654</v>
      </c>
      <c r="AD426" s="475">
        <f>+((AC426-AB426)+1)/30</f>
        <v>4.5333333333333332</v>
      </c>
    </row>
    <row r="427" spans="1:30" s="312" customFormat="1" ht="36.6" thickBot="1" x14ac:dyDescent="0.35">
      <c r="A427" s="576" t="s">
        <v>15</v>
      </c>
      <c r="B427" s="569"/>
      <c r="C427" s="570" t="s">
        <v>397</v>
      </c>
      <c r="D427" s="569"/>
      <c r="E427" s="571"/>
      <c r="F427" s="575" t="s">
        <v>515</v>
      </c>
      <c r="G427" s="520"/>
      <c r="H427" s="554"/>
      <c r="I427" s="521"/>
      <c r="J427" s="521"/>
      <c r="K427" s="521"/>
      <c r="L427" s="521"/>
      <c r="M427" s="521"/>
      <c r="N427" s="521"/>
      <c r="O427" s="521"/>
      <c r="P427" s="311"/>
      <c r="U427" s="471">
        <v>40505</v>
      </c>
      <c r="V427" s="471">
        <v>40633</v>
      </c>
      <c r="W427" s="475">
        <f>+((V427-U427)+1)/30</f>
        <v>4.3</v>
      </c>
      <c r="X427" s="522">
        <v>41381</v>
      </c>
      <c r="Y427" s="522">
        <v>41425</v>
      </c>
      <c r="Z427" s="475">
        <f>+((Y427-X427)+1)/30</f>
        <v>1.5</v>
      </c>
      <c r="AB427" s="522"/>
      <c r="AC427" s="522"/>
      <c r="AD427" s="475">
        <f>+((AC427-AB427)+0)/30</f>
        <v>0</v>
      </c>
    </row>
    <row r="428" spans="1:30" s="163" customFormat="1" ht="15" thickBot="1" x14ac:dyDescent="0.35">
      <c r="A428" s="577" t="s">
        <v>143</v>
      </c>
      <c r="B428" s="572"/>
      <c r="C428" s="573"/>
      <c r="D428" s="574" t="s">
        <v>126</v>
      </c>
      <c r="E428" s="574" t="s">
        <v>144</v>
      </c>
      <c r="F428" s="268"/>
      <c r="G428" s="269"/>
      <c r="H428" s="540"/>
      <c r="I428" s="196"/>
      <c r="J428" s="196"/>
      <c r="K428" s="196"/>
      <c r="L428" s="196"/>
      <c r="M428" s="196"/>
      <c r="N428" s="196"/>
      <c r="O428" s="196"/>
      <c r="P428" s="173"/>
      <c r="U428" s="465"/>
      <c r="V428" s="483" t="s">
        <v>292</v>
      </c>
      <c r="W428" s="481">
        <f>SUM(W425:W427)</f>
        <v>10.133333333333333</v>
      </c>
      <c r="Y428" s="483" t="s">
        <v>292</v>
      </c>
      <c r="Z428" s="481">
        <f>SUM(Z425:Z427)</f>
        <v>8.5</v>
      </c>
      <c r="AC428" s="483" t="s">
        <v>292</v>
      </c>
      <c r="AD428" s="481">
        <f>SUM(AD425:AD427)</f>
        <v>6.2</v>
      </c>
    </row>
    <row r="429" spans="1:30" s="163" customFormat="1" x14ac:dyDescent="0.3">
      <c r="A429" s="332" t="s">
        <v>187</v>
      </c>
      <c r="B429" s="333"/>
      <c r="C429" s="334"/>
      <c r="D429" s="335" t="s">
        <v>90</v>
      </c>
      <c r="E429" s="335"/>
      <c r="F429" s="268"/>
      <c r="G429" s="269"/>
      <c r="H429" s="540"/>
      <c r="I429" s="196"/>
      <c r="J429" s="196"/>
      <c r="K429" s="196"/>
      <c r="L429" s="196"/>
      <c r="M429" s="196"/>
      <c r="N429" s="196"/>
      <c r="O429" s="196"/>
      <c r="P429" s="173"/>
      <c r="U429" s="465"/>
      <c r="V429" s="465"/>
      <c r="W429" s="465"/>
    </row>
    <row r="430" spans="1:30" s="163" customFormat="1" x14ac:dyDescent="0.3">
      <c r="A430" s="326" t="s">
        <v>188</v>
      </c>
      <c r="B430" s="327"/>
      <c r="C430" s="328"/>
      <c r="D430" s="320" t="s">
        <v>90</v>
      </c>
      <c r="E430" s="320"/>
      <c r="F430" s="268"/>
      <c r="G430" s="269"/>
      <c r="H430" s="540"/>
      <c r="I430" s="196"/>
      <c r="J430" s="196"/>
      <c r="K430" s="196"/>
      <c r="L430" s="196"/>
      <c r="M430" s="196"/>
      <c r="N430" s="196"/>
      <c r="O430" s="196"/>
      <c r="P430" s="173"/>
      <c r="U430" s="465"/>
      <c r="V430" s="465"/>
      <c r="W430" s="465"/>
    </row>
    <row r="431" spans="1:30" s="163" customFormat="1" ht="15" thickBot="1" x14ac:dyDescent="0.35">
      <c r="A431" s="329" t="s">
        <v>142</v>
      </c>
      <c r="B431" s="330"/>
      <c r="C431" s="331"/>
      <c r="D431" s="321" t="s">
        <v>90</v>
      </c>
      <c r="E431" s="321"/>
      <c r="F431" s="268"/>
      <c r="G431" s="269"/>
      <c r="H431" s="540"/>
      <c r="I431" s="196"/>
      <c r="J431" s="196"/>
      <c r="K431" s="196"/>
      <c r="L431" s="196"/>
      <c r="M431" s="196"/>
      <c r="N431" s="196"/>
      <c r="O431" s="196"/>
      <c r="P431" s="173"/>
      <c r="U431" s="465"/>
      <c r="V431" s="465"/>
      <c r="W431" s="465"/>
    </row>
    <row r="432" spans="1:30" s="163" customFormat="1" x14ac:dyDescent="0.3">
      <c r="A432" s="322"/>
      <c r="B432" s="323"/>
      <c r="C432" s="324"/>
      <c r="D432" s="325"/>
      <c r="E432" s="325"/>
      <c r="F432" s="268"/>
      <c r="G432" s="269"/>
      <c r="H432" s="540"/>
      <c r="I432" s="196"/>
      <c r="J432" s="196"/>
      <c r="K432" s="196"/>
      <c r="L432" s="196"/>
      <c r="M432" s="196"/>
      <c r="N432" s="196"/>
      <c r="O432" s="196"/>
      <c r="P432" s="173"/>
      <c r="U432" s="465"/>
      <c r="V432" s="465"/>
      <c r="W432" s="465"/>
    </row>
    <row r="433" spans="1:48" s="163" customFormat="1" ht="46.8" x14ac:dyDescent="0.3">
      <c r="A433" s="578" t="s">
        <v>206</v>
      </c>
      <c r="B433" s="578" t="s">
        <v>35</v>
      </c>
      <c r="C433" s="578" t="s">
        <v>258</v>
      </c>
      <c r="D433" s="578" t="s">
        <v>207</v>
      </c>
      <c r="E433" s="578" t="s">
        <v>241</v>
      </c>
      <c r="F433" s="578" t="s">
        <v>242</v>
      </c>
      <c r="G433" s="578" t="s">
        <v>243</v>
      </c>
      <c r="H433" s="579" t="s">
        <v>244</v>
      </c>
      <c r="I433" s="580" t="s">
        <v>5</v>
      </c>
      <c r="J433" s="580" t="s">
        <v>145</v>
      </c>
      <c r="K433" s="580" t="s">
        <v>190</v>
      </c>
      <c r="L433" s="580" t="s">
        <v>147</v>
      </c>
      <c r="M433" s="580" t="s">
        <v>129</v>
      </c>
      <c r="N433" s="580" t="s">
        <v>245</v>
      </c>
      <c r="O433" s="580" t="s">
        <v>208</v>
      </c>
      <c r="P433" s="580" t="s">
        <v>249</v>
      </c>
      <c r="Q433" s="580" t="s">
        <v>148</v>
      </c>
      <c r="R433" s="580" t="s">
        <v>192</v>
      </c>
      <c r="S433" s="580"/>
      <c r="T433" s="173"/>
      <c r="X433" s="465"/>
    </row>
    <row r="434" spans="1:48" s="312" customFormat="1" ht="100.8" x14ac:dyDescent="0.3">
      <c r="A434" s="338">
        <v>1</v>
      </c>
      <c r="B434" s="338">
        <v>17321361</v>
      </c>
      <c r="C434" s="338">
        <v>149</v>
      </c>
      <c r="D434" s="338" t="s">
        <v>90</v>
      </c>
      <c r="E434" s="338" t="s">
        <v>98</v>
      </c>
      <c r="F434" s="338" t="s">
        <v>397</v>
      </c>
      <c r="G434" s="338" t="s">
        <v>0</v>
      </c>
      <c r="H434" s="542" t="s">
        <v>376</v>
      </c>
      <c r="I434" s="339" t="s">
        <v>377</v>
      </c>
      <c r="J434" s="339">
        <v>43146</v>
      </c>
      <c r="K434" s="339">
        <v>43616</v>
      </c>
      <c r="L434" s="391">
        <f t="shared" ref="L434:L439" si="6">+(K434-J434)/30</f>
        <v>15.666666666666666</v>
      </c>
      <c r="M434" s="338">
        <v>19.47</v>
      </c>
      <c r="N434" s="338" t="s">
        <v>378</v>
      </c>
      <c r="O434" s="338" t="s">
        <v>379</v>
      </c>
      <c r="P434" s="338">
        <v>167</v>
      </c>
      <c r="Q434" s="338">
        <v>15.67</v>
      </c>
      <c r="R434" s="338"/>
      <c r="S434" s="311"/>
      <c r="U434" s="471"/>
      <c r="V434" s="471"/>
      <c r="W434" s="470"/>
      <c r="X434" s="340"/>
      <c r="Y434" s="340"/>
      <c r="Z434" s="340"/>
    </row>
    <row r="435" spans="1:48" s="312" customFormat="1" ht="129.6" x14ac:dyDescent="0.3">
      <c r="A435" s="338">
        <v>2</v>
      </c>
      <c r="B435" s="338" t="s">
        <v>380</v>
      </c>
      <c r="C435" s="338">
        <v>184</v>
      </c>
      <c r="D435" s="338" t="s">
        <v>90</v>
      </c>
      <c r="E435" s="338" t="s">
        <v>98</v>
      </c>
      <c r="F435" s="338" t="s">
        <v>421</v>
      </c>
      <c r="G435" s="338" t="s">
        <v>381</v>
      </c>
      <c r="H435" s="542" t="s">
        <v>382</v>
      </c>
      <c r="I435" s="339" t="s">
        <v>383</v>
      </c>
      <c r="J435" s="339">
        <v>41996</v>
      </c>
      <c r="K435" s="339">
        <v>42811</v>
      </c>
      <c r="L435" s="391">
        <f t="shared" si="6"/>
        <v>27.166666666666668</v>
      </c>
      <c r="M435" s="338">
        <v>11.83</v>
      </c>
      <c r="N435" s="338" t="s">
        <v>384</v>
      </c>
      <c r="O435" s="338" t="s">
        <v>379</v>
      </c>
      <c r="P435" s="338">
        <v>200</v>
      </c>
      <c r="Q435" s="338">
        <v>11.23</v>
      </c>
      <c r="R435" s="338"/>
      <c r="S435" s="311"/>
      <c r="U435" s="471"/>
      <c r="V435" s="471">
        <v>41996</v>
      </c>
      <c r="W435" s="471">
        <v>41997</v>
      </c>
      <c r="X435" s="391">
        <f>+(W435-V435)/30</f>
        <v>3.3333333333333333E-2</v>
      </c>
      <c r="Y435" s="340"/>
      <c r="Z435" s="340"/>
      <c r="AU435" s="312">
        <v>41856</v>
      </c>
      <c r="AV435" s="312">
        <f>+AU435-AT435</f>
        <v>41856</v>
      </c>
    </row>
    <row r="436" spans="1:48" s="312" customFormat="1" ht="158.4" x14ac:dyDescent="0.3">
      <c r="A436" s="338">
        <v>3</v>
      </c>
      <c r="B436" s="338">
        <v>1205</v>
      </c>
      <c r="C436" s="338">
        <v>206</v>
      </c>
      <c r="D436" s="338" t="s">
        <v>90</v>
      </c>
      <c r="E436" s="338" t="s">
        <v>98</v>
      </c>
      <c r="F436" s="338" t="s">
        <v>397</v>
      </c>
      <c r="G436" s="338" t="s">
        <v>385</v>
      </c>
      <c r="H436" s="542" t="s">
        <v>386</v>
      </c>
      <c r="I436" s="339" t="s">
        <v>387</v>
      </c>
      <c r="J436" s="339">
        <v>39266</v>
      </c>
      <c r="K436" s="339">
        <v>39444</v>
      </c>
      <c r="L436" s="391">
        <f t="shared" si="6"/>
        <v>5.9333333333333336</v>
      </c>
      <c r="M436" s="391">
        <v>5.93</v>
      </c>
      <c r="N436" s="338" t="s">
        <v>388</v>
      </c>
      <c r="O436" s="338" t="s">
        <v>379</v>
      </c>
      <c r="P436" s="338">
        <v>212</v>
      </c>
      <c r="Q436" s="391"/>
      <c r="R436" s="338" t="s">
        <v>426</v>
      </c>
      <c r="S436" s="311"/>
      <c r="U436" s="471"/>
      <c r="V436" s="471">
        <v>42044</v>
      </c>
      <c r="W436" s="471">
        <v>42256</v>
      </c>
      <c r="X436" s="391">
        <f t="shared" ref="X436:X440" si="7">+(W436-V436)/30</f>
        <v>7.0666666666666664</v>
      </c>
      <c r="Y436" s="340"/>
      <c r="Z436" s="340"/>
      <c r="AV436" s="312">
        <f t="shared" ref="AV436" si="8">+AU436-AT436</f>
        <v>0</v>
      </c>
    </row>
    <row r="437" spans="1:48" s="312" customFormat="1" ht="100.8" x14ac:dyDescent="0.3">
      <c r="A437" s="338">
        <v>4</v>
      </c>
      <c r="B437" s="338" t="s">
        <v>389</v>
      </c>
      <c r="C437" s="338">
        <v>213</v>
      </c>
      <c r="D437" s="338" t="s">
        <v>90</v>
      </c>
      <c r="E437" s="338" t="s">
        <v>397</v>
      </c>
      <c r="F437" s="338" t="s">
        <v>98</v>
      </c>
      <c r="G437" s="338" t="s">
        <v>390</v>
      </c>
      <c r="H437" s="542" t="s">
        <v>391</v>
      </c>
      <c r="I437" s="339" t="s">
        <v>392</v>
      </c>
      <c r="J437" s="339">
        <v>39987</v>
      </c>
      <c r="K437" s="339">
        <v>40170</v>
      </c>
      <c r="L437" s="391">
        <f t="shared" si="6"/>
        <v>6.1</v>
      </c>
      <c r="M437" s="338">
        <v>6</v>
      </c>
      <c r="N437" s="338" t="s">
        <v>393</v>
      </c>
      <c r="O437" s="338" t="s">
        <v>379</v>
      </c>
      <c r="P437" s="338" t="s">
        <v>394</v>
      </c>
      <c r="Q437" s="338">
        <v>6</v>
      </c>
      <c r="R437" s="338"/>
      <c r="S437" s="311"/>
      <c r="U437" s="471"/>
      <c r="V437" s="471">
        <v>42282</v>
      </c>
      <c r="W437" s="471">
        <v>42336</v>
      </c>
      <c r="X437" s="391">
        <f t="shared" si="7"/>
        <v>1.8</v>
      </c>
      <c r="Y437" s="340"/>
      <c r="Z437" s="340"/>
    </row>
    <row r="438" spans="1:48" s="312" customFormat="1" ht="57.6" x14ac:dyDescent="0.3">
      <c r="A438" s="338">
        <v>5</v>
      </c>
      <c r="B438" s="527" t="s">
        <v>422</v>
      </c>
      <c r="C438" s="527">
        <v>224</v>
      </c>
      <c r="D438" s="527" t="s">
        <v>90</v>
      </c>
      <c r="E438" s="527" t="s">
        <v>397</v>
      </c>
      <c r="F438" s="527" t="s">
        <v>98</v>
      </c>
      <c r="G438" s="527" t="s">
        <v>395</v>
      </c>
      <c r="H438" s="551" t="s">
        <v>397</v>
      </c>
      <c r="I438" s="527" t="s">
        <v>396</v>
      </c>
      <c r="J438" s="528">
        <v>40275</v>
      </c>
      <c r="K438" s="528">
        <v>41006</v>
      </c>
      <c r="L438" s="527">
        <v>24.37</v>
      </c>
      <c r="M438" s="527">
        <v>24</v>
      </c>
      <c r="N438" s="527" t="s">
        <v>98</v>
      </c>
      <c r="O438" s="527" t="s">
        <v>90</v>
      </c>
      <c r="P438" s="527" t="s">
        <v>98</v>
      </c>
      <c r="Q438" s="527">
        <v>24</v>
      </c>
      <c r="R438" s="527"/>
      <c r="S438" s="311"/>
      <c r="U438" s="471"/>
      <c r="V438" s="471">
        <v>42513</v>
      </c>
      <c r="W438" s="471">
        <v>42515</v>
      </c>
      <c r="X438" s="391">
        <f t="shared" si="7"/>
        <v>6.6666666666666666E-2</v>
      </c>
      <c r="Y438" s="340"/>
      <c r="Z438" s="340"/>
    </row>
    <row r="439" spans="1:48" s="312" customFormat="1" x14ac:dyDescent="0.3">
      <c r="A439" s="338">
        <v>6</v>
      </c>
      <c r="B439" s="338"/>
      <c r="C439" s="338"/>
      <c r="D439" s="338"/>
      <c r="E439" s="338"/>
      <c r="F439" s="338"/>
      <c r="G439" s="338"/>
      <c r="H439" s="542"/>
      <c r="I439" s="339"/>
      <c r="J439" s="339"/>
      <c r="K439" s="339"/>
      <c r="L439" s="391">
        <f t="shared" si="6"/>
        <v>0</v>
      </c>
      <c r="M439" s="338"/>
      <c r="N439" s="338"/>
      <c r="O439" s="338"/>
      <c r="P439" s="338"/>
      <c r="Q439" s="338"/>
      <c r="R439" s="338"/>
      <c r="S439" s="311"/>
      <c r="U439" s="471"/>
      <c r="V439" s="471">
        <v>42647</v>
      </c>
      <c r="W439" s="471">
        <v>42719</v>
      </c>
      <c r="X439" s="391">
        <f t="shared" si="7"/>
        <v>2.4</v>
      </c>
      <c r="Y439" s="340"/>
      <c r="Z439" s="340"/>
      <c r="AV439" s="312">
        <f>SUM(AV435:AV438)+COUNT(AV435:AV438)</f>
        <v>41858</v>
      </c>
    </row>
    <row r="440" spans="1:48" s="312" customFormat="1" x14ac:dyDescent="0.3">
      <c r="A440" s="338">
        <v>7</v>
      </c>
      <c r="B440" s="338"/>
      <c r="C440" s="338"/>
      <c r="D440" s="338"/>
      <c r="E440" s="338"/>
      <c r="F440" s="338"/>
      <c r="G440" s="338"/>
      <c r="H440" s="542"/>
      <c r="I440" s="339"/>
      <c r="J440" s="339"/>
      <c r="K440" s="338">
        <f t="shared" ref="K440:K441" si="9">+ROUND((J440-I440)/30,2)</f>
        <v>0</v>
      </c>
      <c r="L440" s="338"/>
      <c r="M440" s="338"/>
      <c r="N440" s="338"/>
      <c r="O440" s="338"/>
      <c r="P440" s="338"/>
      <c r="Q440" s="338"/>
      <c r="R440" s="338"/>
      <c r="S440" s="311"/>
      <c r="U440" s="471"/>
      <c r="V440" s="471">
        <v>42797</v>
      </c>
      <c r="W440" s="471">
        <v>42811</v>
      </c>
      <c r="X440" s="391">
        <f t="shared" si="7"/>
        <v>0.46666666666666667</v>
      </c>
      <c r="Y440" s="340"/>
      <c r="Z440" s="340"/>
      <c r="AV440" s="312">
        <f>+AV439/30</f>
        <v>1395.2666666666667</v>
      </c>
    </row>
    <row r="441" spans="1:48" s="312" customFormat="1" ht="25.8" x14ac:dyDescent="0.3">
      <c r="A441" s="338">
        <v>8</v>
      </c>
      <c r="B441" s="338"/>
      <c r="C441" s="338"/>
      <c r="D441" s="338"/>
      <c r="E441" s="338"/>
      <c r="F441" s="338"/>
      <c r="G441" s="338"/>
      <c r="H441" s="542"/>
      <c r="I441" s="339"/>
      <c r="J441" s="339"/>
      <c r="K441" s="338">
        <f t="shared" si="9"/>
        <v>0</v>
      </c>
      <c r="L441" s="338"/>
      <c r="M441" s="338"/>
      <c r="N441" s="338"/>
      <c r="O441" s="338"/>
      <c r="P441" s="338"/>
      <c r="Q441" s="338"/>
      <c r="R441" s="338"/>
      <c r="S441" s="311"/>
      <c r="U441" s="471"/>
      <c r="V441" s="471"/>
      <c r="W441" s="470"/>
      <c r="X441" s="525">
        <f>SUM(X435:X440)</f>
        <v>11.833333333333334</v>
      </c>
      <c r="Y441" s="340"/>
      <c r="Z441" s="340"/>
    </row>
    <row r="442" spans="1:48" s="163" customFormat="1" x14ac:dyDescent="0.3">
      <c r="A442" s="272"/>
      <c r="B442" s="272"/>
      <c r="C442" s="272"/>
      <c r="D442" s="272"/>
      <c r="E442" s="272"/>
      <c r="F442" s="272"/>
      <c r="G442" s="272"/>
      <c r="H442" s="543"/>
      <c r="I442" s="337"/>
      <c r="J442" s="337"/>
      <c r="K442" s="272"/>
      <c r="L442" s="272"/>
      <c r="M442" s="272"/>
      <c r="N442" s="272"/>
      <c r="O442" s="272"/>
      <c r="P442" s="272"/>
      <c r="Q442" s="272"/>
      <c r="R442" s="272"/>
      <c r="S442" s="173"/>
      <c r="U442" s="464"/>
      <c r="V442" s="464"/>
      <c r="W442" s="472"/>
    </row>
    <row r="443" spans="1:48" s="163" customFormat="1" x14ac:dyDescent="0.3">
      <c r="A443" s="272"/>
      <c r="B443" s="272"/>
      <c r="C443" s="272"/>
      <c r="D443" s="272"/>
      <c r="E443" s="272"/>
      <c r="F443" s="272"/>
      <c r="G443" s="272"/>
      <c r="H443" s="543"/>
      <c r="I443" s="272"/>
      <c r="J443" s="272"/>
      <c r="K443" s="274"/>
      <c r="L443" s="272"/>
      <c r="M443" s="272"/>
      <c r="N443" s="272"/>
      <c r="O443" s="272"/>
      <c r="P443" s="273"/>
      <c r="Q443" s="272"/>
      <c r="R443" s="272"/>
      <c r="S443" s="173"/>
      <c r="U443" s="464"/>
      <c r="V443" s="464"/>
      <c r="W443" s="465"/>
    </row>
    <row r="444" spans="1:48" s="163" customFormat="1" ht="27.6" x14ac:dyDescent="0.3">
      <c r="A444" s="272"/>
      <c r="B444" s="272"/>
      <c r="C444" s="272"/>
      <c r="D444" s="272"/>
      <c r="E444" s="272"/>
      <c r="F444" s="272"/>
      <c r="G444" s="272"/>
      <c r="H444" s="547"/>
      <c r="I444" s="276"/>
      <c r="J444" s="276"/>
      <c r="K444" s="275"/>
      <c r="L444" s="272"/>
      <c r="M444" s="272"/>
      <c r="N444" s="272"/>
      <c r="P444" s="276" t="s">
        <v>146</v>
      </c>
      <c r="Q444" s="274">
        <f>SUM(Q434:Q443)</f>
        <v>56.9</v>
      </c>
      <c r="R444" s="272"/>
      <c r="S444" s="173"/>
      <c r="U444" s="464"/>
      <c r="V444" s="464"/>
      <c r="W444" s="465"/>
    </row>
    <row r="445" spans="1:48" s="163" customFormat="1" ht="15" thickBot="1" x14ac:dyDescent="0.35">
      <c r="A445" s="272"/>
      <c r="B445" s="272"/>
      <c r="C445" s="272"/>
      <c r="D445" s="272"/>
      <c r="E445" s="272"/>
      <c r="F445" s="272"/>
      <c r="G445" s="272"/>
      <c r="H445" s="543"/>
      <c r="I445" s="272"/>
      <c r="J445" s="272"/>
      <c r="K445" s="272"/>
      <c r="L445" s="272"/>
      <c r="M445" s="272"/>
      <c r="N445" s="272"/>
      <c r="O445" s="272"/>
      <c r="P445" s="272"/>
      <c r="Q445" s="173"/>
      <c r="U445" s="465"/>
      <c r="V445" s="465"/>
      <c r="W445" s="465"/>
    </row>
    <row r="446" spans="1:48" s="163" customFormat="1" ht="15" thickBot="1" x14ac:dyDescent="0.35">
      <c r="A446" s="577" t="s">
        <v>265</v>
      </c>
      <c r="B446" s="572"/>
      <c r="C446" s="572"/>
      <c r="D446" s="572"/>
      <c r="E446" s="573"/>
      <c r="F446" s="268"/>
      <c r="G446" s="269"/>
      <c r="H446" s="540"/>
      <c r="I446" s="196"/>
      <c r="J446" s="196"/>
      <c r="K446" s="196"/>
      <c r="L446" s="196"/>
      <c r="M446" s="196"/>
      <c r="N446" s="196"/>
      <c r="O446" s="196"/>
      <c r="P446" s="173"/>
      <c r="U446" s="465"/>
      <c r="V446" s="465"/>
      <c r="W446" s="465"/>
    </row>
    <row r="447" spans="1:48" s="163" customFormat="1" ht="15" thickBot="1" x14ac:dyDescent="0.35">
      <c r="A447" s="577" t="s">
        <v>143</v>
      </c>
      <c r="B447" s="572"/>
      <c r="C447" s="573"/>
      <c r="D447" s="574" t="s">
        <v>126</v>
      </c>
      <c r="E447" s="574" t="s">
        <v>144</v>
      </c>
      <c r="F447" s="268"/>
      <c r="G447" s="269"/>
      <c r="H447" s="540"/>
      <c r="I447" s="196"/>
      <c r="J447" s="196"/>
      <c r="K447" s="196"/>
      <c r="L447" s="196"/>
      <c r="M447" s="196"/>
      <c r="N447" s="196"/>
      <c r="O447" s="196"/>
      <c r="P447" s="173"/>
      <c r="U447" s="465"/>
      <c r="V447" s="465"/>
      <c r="W447" s="465"/>
    </row>
    <row r="448" spans="1:48" s="163" customFormat="1" x14ac:dyDescent="0.3">
      <c r="A448" s="332" t="s">
        <v>187</v>
      </c>
      <c r="B448" s="333"/>
      <c r="C448" s="334"/>
      <c r="D448" s="335"/>
      <c r="E448" s="335"/>
      <c r="F448" s="268"/>
      <c r="G448" s="269"/>
      <c r="H448" s="540"/>
      <c r="I448" s="196"/>
      <c r="J448" s="196"/>
      <c r="K448" s="196"/>
      <c r="L448" s="196"/>
      <c r="M448" s="196"/>
      <c r="N448" s="196"/>
      <c r="O448" s="196"/>
      <c r="P448" s="173"/>
      <c r="U448" s="465"/>
      <c r="V448" s="465"/>
      <c r="W448" s="465"/>
    </row>
    <row r="449" spans="1:23" s="163" customFormat="1" x14ac:dyDescent="0.3">
      <c r="A449" s="326" t="s">
        <v>149</v>
      </c>
      <c r="B449" s="327"/>
      <c r="C449" s="328"/>
      <c r="D449" s="320"/>
      <c r="E449" s="320"/>
      <c r="F449" s="268"/>
      <c r="G449" s="269"/>
      <c r="H449" s="540"/>
      <c r="I449" s="196"/>
      <c r="J449" s="196"/>
      <c r="K449" s="196"/>
      <c r="L449" s="196"/>
      <c r="M449" s="196"/>
      <c r="N449" s="196"/>
      <c r="O449" s="196"/>
      <c r="P449" s="173"/>
      <c r="U449" s="465"/>
      <c r="V449" s="465"/>
      <c r="W449" s="465"/>
    </row>
    <row r="450" spans="1:23" s="163" customFormat="1" x14ac:dyDescent="0.3">
      <c r="A450" s="343" t="s">
        <v>150</v>
      </c>
      <c r="B450" s="344"/>
      <c r="C450" s="345"/>
      <c r="D450" s="346"/>
      <c r="E450" s="346"/>
      <c r="F450" s="268"/>
      <c r="G450" s="269"/>
      <c r="H450" s="540"/>
      <c r="I450" s="196"/>
      <c r="J450" s="196"/>
      <c r="K450" s="196"/>
      <c r="L450" s="196"/>
      <c r="M450" s="196"/>
      <c r="N450" s="196"/>
      <c r="O450" s="196"/>
      <c r="P450" s="173"/>
      <c r="U450" s="465"/>
      <c r="V450" s="465"/>
      <c r="W450" s="465"/>
    </row>
    <row r="451" spans="1:23" s="163" customFormat="1" x14ac:dyDescent="0.3">
      <c r="A451" s="343" t="s">
        <v>142</v>
      </c>
      <c r="B451" s="344"/>
      <c r="C451" s="345"/>
      <c r="D451" s="346"/>
      <c r="E451" s="346"/>
      <c r="F451" s="268"/>
      <c r="G451" s="269"/>
      <c r="H451" s="540"/>
      <c r="I451" s="196"/>
      <c r="J451" s="196"/>
      <c r="K451" s="196"/>
      <c r="L451" s="196"/>
      <c r="M451" s="196"/>
      <c r="N451" s="196"/>
      <c r="O451" s="196"/>
      <c r="P451" s="173"/>
      <c r="U451" s="465"/>
      <c r="V451" s="465"/>
      <c r="W451" s="465"/>
    </row>
    <row r="452" spans="1:23" s="163" customFormat="1" x14ac:dyDescent="0.3">
      <c r="A452" s="343"/>
      <c r="B452" s="344"/>
      <c r="C452" s="345"/>
      <c r="D452" s="346"/>
      <c r="E452" s="346"/>
      <c r="F452" s="268"/>
      <c r="G452" s="269"/>
      <c r="H452" s="540"/>
      <c r="I452" s="196"/>
      <c r="J452" s="196"/>
      <c r="K452" s="196"/>
      <c r="L452" s="196"/>
      <c r="M452" s="196"/>
      <c r="N452" s="196"/>
      <c r="O452" s="196"/>
      <c r="P452" s="173"/>
      <c r="U452" s="465"/>
      <c r="V452" s="465"/>
      <c r="W452" s="465"/>
    </row>
    <row r="453" spans="1:23" s="163" customFormat="1" ht="15" thickBot="1" x14ac:dyDescent="0.35">
      <c r="A453" s="329"/>
      <c r="B453" s="330"/>
      <c r="C453" s="331"/>
      <c r="D453" s="321"/>
      <c r="E453" s="321"/>
      <c r="F453" s="268"/>
      <c r="G453" s="269"/>
      <c r="H453" s="540"/>
      <c r="I453" s="196"/>
      <c r="J453" s="196"/>
      <c r="K453" s="196"/>
      <c r="L453" s="196"/>
      <c r="M453" s="196"/>
      <c r="N453" s="196"/>
      <c r="O453" s="196"/>
      <c r="P453" s="173"/>
      <c r="U453" s="465"/>
      <c r="V453" s="465"/>
      <c r="W453" s="465"/>
    </row>
    <row r="454" spans="1:23" ht="15" thickBot="1" x14ac:dyDescent="0.35"/>
    <row r="455" spans="1:23" ht="15" thickBot="1" x14ac:dyDescent="0.35">
      <c r="A455" s="577" t="s">
        <v>205</v>
      </c>
      <c r="B455" s="572"/>
      <c r="C455" s="572"/>
      <c r="D455" s="572"/>
      <c r="E455" s="573"/>
      <c r="F455" s="581"/>
    </row>
    <row r="456" spans="1:23" ht="15" thickBot="1" x14ac:dyDescent="0.35">
      <c r="A456" s="577" t="s">
        <v>143</v>
      </c>
      <c r="B456" s="572"/>
      <c r="C456" s="573"/>
      <c r="D456" s="574" t="s">
        <v>126</v>
      </c>
      <c r="E456" s="574" t="s">
        <v>144</v>
      </c>
    </row>
    <row r="457" spans="1:23" x14ac:dyDescent="0.3">
      <c r="A457" s="332" t="s">
        <v>187</v>
      </c>
      <c r="B457" s="333"/>
      <c r="C457" s="334"/>
      <c r="D457" s="335"/>
      <c r="E457" s="335"/>
    </row>
    <row r="458" spans="1:23" x14ac:dyDescent="0.3">
      <c r="A458" s="326" t="s">
        <v>149</v>
      </c>
      <c r="B458" s="327"/>
      <c r="C458" s="328"/>
      <c r="D458" s="320"/>
      <c r="E458" s="320"/>
    </row>
    <row r="459" spans="1:23" x14ac:dyDescent="0.3">
      <c r="A459" s="343" t="s">
        <v>151</v>
      </c>
      <c r="B459" s="344"/>
      <c r="C459" s="345"/>
      <c r="D459" s="346"/>
      <c r="E459" s="346"/>
    </row>
    <row r="460" spans="1:23" ht="15" thickBot="1" x14ac:dyDescent="0.35">
      <c r="A460" s="329"/>
      <c r="B460" s="330"/>
      <c r="C460" s="331"/>
      <c r="D460" s="321"/>
      <c r="E460" s="321"/>
    </row>
    <row r="462" spans="1:23" s="163" customFormat="1" ht="46.8" x14ac:dyDescent="0.3">
      <c r="A462" s="182" t="s">
        <v>206</v>
      </c>
      <c r="B462" s="182" t="s">
        <v>35</v>
      </c>
      <c r="C462" s="182" t="s">
        <v>189</v>
      </c>
      <c r="D462" s="182" t="s">
        <v>207</v>
      </c>
      <c r="E462" s="182" t="s">
        <v>152</v>
      </c>
      <c r="F462" s="182" t="s">
        <v>193</v>
      </c>
      <c r="G462" s="271" t="s">
        <v>97</v>
      </c>
      <c r="H462" s="541" t="s">
        <v>5</v>
      </c>
      <c r="I462" s="271" t="s">
        <v>145</v>
      </c>
      <c r="J462" s="271" t="s">
        <v>190</v>
      </c>
      <c r="K462" s="271" t="s">
        <v>209</v>
      </c>
      <c r="L462" s="271" t="s">
        <v>153</v>
      </c>
      <c r="M462" s="271" t="s">
        <v>191</v>
      </c>
      <c r="N462" s="271"/>
      <c r="O462" s="271"/>
      <c r="P462" s="271"/>
      <c r="Q462" s="271" t="s">
        <v>192</v>
      </c>
      <c r="U462" s="465"/>
      <c r="V462" s="465"/>
      <c r="W462" s="465"/>
    </row>
    <row r="463" spans="1:23" s="312" customFormat="1" x14ac:dyDescent="0.3">
      <c r="A463" s="338">
        <v>1</v>
      </c>
      <c r="B463" s="338"/>
      <c r="C463" s="338"/>
      <c r="D463" s="341"/>
      <c r="E463" s="338"/>
      <c r="F463" s="338"/>
      <c r="G463" s="338"/>
      <c r="H463" s="542"/>
      <c r="I463" s="339"/>
      <c r="J463" s="339"/>
      <c r="K463" s="338"/>
      <c r="L463" s="349"/>
      <c r="O463" s="338"/>
      <c r="P463" s="338"/>
      <c r="Q463" s="338"/>
      <c r="U463" s="470"/>
      <c r="V463" s="470"/>
      <c r="W463" s="470"/>
    </row>
    <row r="464" spans="1:23" s="312" customFormat="1" x14ac:dyDescent="0.3">
      <c r="A464" s="338">
        <v>2</v>
      </c>
      <c r="B464" s="338"/>
      <c r="C464" s="338"/>
      <c r="D464" s="341"/>
      <c r="E464" s="338"/>
      <c r="F464" s="338"/>
      <c r="G464" s="338"/>
      <c r="H464" s="542"/>
      <c r="I464" s="339"/>
      <c r="J464" s="339"/>
      <c r="K464" s="338"/>
      <c r="L464" s="349"/>
      <c r="M464" s="338"/>
      <c r="N464" s="338"/>
      <c r="O464" s="338"/>
      <c r="P464" s="338"/>
      <c r="Q464" s="338"/>
      <c r="U464" s="470"/>
      <c r="V464" s="470"/>
      <c r="W464" s="470"/>
    </row>
    <row r="465" spans="1:23" s="312" customFormat="1" x14ac:dyDescent="0.3">
      <c r="A465" s="338">
        <v>3</v>
      </c>
      <c r="B465" s="338"/>
      <c r="C465" s="338"/>
      <c r="D465" s="341"/>
      <c r="E465" s="338"/>
      <c r="F465" s="338"/>
      <c r="G465" s="338"/>
      <c r="H465" s="542"/>
      <c r="I465" s="339"/>
      <c r="J465" s="339"/>
      <c r="K465" s="338"/>
      <c r="L465" s="342"/>
      <c r="M465" s="338"/>
      <c r="N465" s="338"/>
      <c r="O465" s="338"/>
      <c r="P465" s="338"/>
      <c r="Q465" s="338"/>
      <c r="U465" s="470"/>
      <c r="V465" s="470"/>
      <c r="W465" s="470"/>
    </row>
    <row r="466" spans="1:23" s="312" customFormat="1" x14ac:dyDescent="0.3">
      <c r="A466" s="338">
        <v>4</v>
      </c>
      <c r="B466" s="338"/>
      <c r="C466" s="338"/>
      <c r="D466" s="341"/>
      <c r="E466" s="338"/>
      <c r="F466" s="338"/>
      <c r="G466" s="338"/>
      <c r="H466" s="542"/>
      <c r="I466" s="339"/>
      <c r="J466" s="339"/>
      <c r="K466" s="338"/>
      <c r="L466" s="342"/>
      <c r="M466" s="338"/>
      <c r="N466" s="338"/>
      <c r="O466" s="338"/>
      <c r="P466" s="338"/>
      <c r="Q466" s="338"/>
      <c r="U466" s="470"/>
      <c r="V466" s="470"/>
      <c r="W466" s="470"/>
    </row>
    <row r="467" spans="1:23" s="312" customFormat="1" x14ac:dyDescent="0.3">
      <c r="A467" s="338">
        <v>5</v>
      </c>
      <c r="B467" s="338"/>
      <c r="C467" s="338"/>
      <c r="D467" s="341"/>
      <c r="E467" s="338"/>
      <c r="F467" s="338"/>
      <c r="G467" s="338"/>
      <c r="H467" s="542"/>
      <c r="I467" s="339"/>
      <c r="J467" s="339"/>
      <c r="K467" s="338"/>
      <c r="L467" s="342"/>
      <c r="M467" s="338"/>
      <c r="N467" s="338"/>
      <c r="O467" s="338"/>
      <c r="P467" s="338"/>
      <c r="Q467" s="338"/>
      <c r="U467" s="470"/>
      <c r="V467" s="470"/>
      <c r="W467" s="470"/>
    </row>
    <row r="468" spans="1:23" s="312" customFormat="1" x14ac:dyDescent="0.3">
      <c r="A468" s="338">
        <v>6</v>
      </c>
      <c r="B468" s="338"/>
      <c r="C468" s="338"/>
      <c r="D468" s="341"/>
      <c r="E468" s="338"/>
      <c r="F468" s="338"/>
      <c r="G468" s="338"/>
      <c r="H468" s="542"/>
      <c r="I468" s="339"/>
      <c r="J468" s="339"/>
      <c r="K468" s="338"/>
      <c r="L468" s="342"/>
      <c r="M468" s="338"/>
      <c r="N468" s="338"/>
      <c r="O468" s="338"/>
      <c r="P468" s="338"/>
      <c r="Q468" s="347"/>
      <c r="U468" s="470"/>
      <c r="V468" s="470"/>
      <c r="W468" s="470"/>
    </row>
    <row r="469" spans="1:23" s="312" customFormat="1" x14ac:dyDescent="0.3">
      <c r="A469" s="338">
        <v>7</v>
      </c>
      <c r="B469" s="338"/>
      <c r="C469" s="338"/>
      <c r="D469" s="341"/>
      <c r="E469" s="338"/>
      <c r="F469" s="338"/>
      <c r="G469" s="338"/>
      <c r="H469" s="542"/>
      <c r="I469" s="339"/>
      <c r="J469" s="339"/>
      <c r="K469" s="338"/>
      <c r="L469" s="342"/>
      <c r="M469" s="338"/>
      <c r="N469" s="338"/>
      <c r="O469" s="338"/>
      <c r="P469" s="338"/>
      <c r="Q469" s="338"/>
      <c r="U469" s="470"/>
      <c r="V469" s="470"/>
      <c r="W469" s="470"/>
    </row>
    <row r="470" spans="1:23" s="312" customFormat="1" x14ac:dyDescent="0.3">
      <c r="A470" s="338">
        <v>8</v>
      </c>
      <c r="B470" s="338"/>
      <c r="C470" s="338"/>
      <c r="D470" s="341"/>
      <c r="E470" s="338"/>
      <c r="F470" s="338"/>
      <c r="G470" s="338"/>
      <c r="H470" s="542"/>
      <c r="I470" s="339"/>
      <c r="J470" s="339"/>
      <c r="K470" s="338"/>
      <c r="L470" s="342"/>
      <c r="M470" s="338"/>
      <c r="N470" s="338"/>
      <c r="O470" s="338"/>
      <c r="P470" s="338"/>
      <c r="Q470" s="338"/>
      <c r="U470" s="470"/>
      <c r="V470" s="470"/>
      <c r="W470" s="470"/>
    </row>
    <row r="471" spans="1:23" s="312" customFormat="1" x14ac:dyDescent="0.3">
      <c r="A471" s="338">
        <v>9</v>
      </c>
      <c r="B471" s="338"/>
      <c r="C471" s="338"/>
      <c r="D471" s="341"/>
      <c r="E471" s="338"/>
      <c r="F471" s="338"/>
      <c r="G471" s="338"/>
      <c r="H471" s="542"/>
      <c r="I471" s="339"/>
      <c r="J471" s="339"/>
      <c r="K471" s="338"/>
      <c r="L471" s="342"/>
      <c r="M471" s="338"/>
      <c r="N471" s="338"/>
      <c r="O471" s="338"/>
      <c r="P471" s="338"/>
      <c r="Q471" s="338"/>
      <c r="U471" s="470"/>
      <c r="V471" s="470"/>
      <c r="W471" s="470"/>
    </row>
    <row r="472" spans="1:23" s="312" customFormat="1" x14ac:dyDescent="0.3">
      <c r="A472" s="338">
        <v>10</v>
      </c>
      <c r="B472" s="338"/>
      <c r="C472" s="338"/>
      <c r="D472" s="341"/>
      <c r="E472" s="338"/>
      <c r="F472" s="338"/>
      <c r="G472" s="338"/>
      <c r="H472" s="542"/>
      <c r="I472" s="339"/>
      <c r="J472" s="339"/>
      <c r="K472" s="338"/>
      <c r="L472" s="342"/>
      <c r="M472" s="338"/>
      <c r="N472" s="338"/>
      <c r="O472" s="338"/>
      <c r="P472" s="338"/>
      <c r="Q472" s="338"/>
      <c r="U472" s="470"/>
      <c r="V472" s="470"/>
      <c r="W472" s="470"/>
    </row>
    <row r="473" spans="1:23" s="312" customFormat="1" x14ac:dyDescent="0.3">
      <c r="A473" s="338">
        <v>11</v>
      </c>
      <c r="B473" s="338"/>
      <c r="C473" s="338"/>
      <c r="D473" s="341"/>
      <c r="E473" s="338"/>
      <c r="F473" s="338"/>
      <c r="G473" s="338"/>
      <c r="H473" s="542"/>
      <c r="I473" s="339"/>
      <c r="J473" s="339"/>
      <c r="K473" s="338"/>
      <c r="L473" s="342"/>
      <c r="M473" s="338"/>
      <c r="N473" s="338"/>
      <c r="O473" s="338"/>
      <c r="P473" s="338"/>
      <c r="Q473" s="338"/>
      <c r="U473" s="470"/>
      <c r="V473" s="470"/>
      <c r="W473" s="470"/>
    </row>
    <row r="474" spans="1:23" s="312" customFormat="1" x14ac:dyDescent="0.3">
      <c r="A474" s="338">
        <v>12</v>
      </c>
      <c r="B474" s="338"/>
      <c r="C474" s="338"/>
      <c r="D474" s="341"/>
      <c r="E474" s="338"/>
      <c r="F474" s="338"/>
      <c r="G474" s="338"/>
      <c r="H474" s="542"/>
      <c r="I474" s="339"/>
      <c r="J474" s="339"/>
      <c r="K474" s="338"/>
      <c r="L474" s="342"/>
      <c r="M474" s="338"/>
      <c r="N474" s="338"/>
      <c r="O474" s="338"/>
      <c r="P474" s="338"/>
      <c r="Q474" s="338"/>
      <c r="U474" s="470"/>
      <c r="V474" s="470"/>
      <c r="W474" s="470"/>
    </row>
    <row r="475" spans="1:23" s="312" customFormat="1" x14ac:dyDescent="0.3">
      <c r="A475" s="338">
        <v>13</v>
      </c>
      <c r="B475" s="338"/>
      <c r="C475" s="338"/>
      <c r="D475" s="341"/>
      <c r="E475" s="338"/>
      <c r="F475" s="338"/>
      <c r="G475" s="338"/>
      <c r="H475" s="542"/>
      <c r="I475" s="339"/>
      <c r="J475" s="339"/>
      <c r="K475" s="338"/>
      <c r="L475" s="342"/>
      <c r="M475" s="338"/>
      <c r="N475" s="338"/>
      <c r="O475" s="338"/>
      <c r="P475" s="338"/>
      <c r="Q475" s="338"/>
      <c r="U475" s="470"/>
      <c r="V475" s="470"/>
      <c r="W475" s="470"/>
    </row>
    <row r="476" spans="1:23" s="312" customFormat="1" x14ac:dyDescent="0.3">
      <c r="A476" s="338">
        <v>14</v>
      </c>
      <c r="B476" s="338"/>
      <c r="C476" s="338"/>
      <c r="D476" s="341"/>
      <c r="E476" s="338"/>
      <c r="F476" s="338"/>
      <c r="G476" s="338"/>
      <c r="H476" s="542"/>
      <c r="I476" s="339"/>
      <c r="J476" s="339"/>
      <c r="K476" s="338"/>
      <c r="L476" s="342"/>
      <c r="M476" s="338"/>
      <c r="N476" s="338"/>
      <c r="O476" s="338"/>
      <c r="P476" s="338"/>
      <c r="Q476" s="347"/>
      <c r="U476" s="470"/>
      <c r="V476" s="470"/>
      <c r="W476" s="470"/>
    </row>
    <row r="477" spans="1:23" s="312" customFormat="1" x14ac:dyDescent="0.3">
      <c r="A477" s="338"/>
      <c r="B477" s="338"/>
      <c r="C477" s="338"/>
      <c r="D477" s="341"/>
      <c r="E477" s="338"/>
      <c r="F477" s="338"/>
      <c r="G477" s="338"/>
      <c r="H477" s="542"/>
      <c r="I477" s="339"/>
      <c r="J477" s="339"/>
      <c r="K477" s="338"/>
      <c r="L477" s="342"/>
      <c r="M477" s="338"/>
      <c r="N477" s="338"/>
      <c r="O477" s="338"/>
      <c r="P477" s="338"/>
      <c r="Q477" s="347"/>
      <c r="U477" s="470"/>
      <c r="V477" s="470"/>
      <c r="W477" s="470"/>
    </row>
    <row r="478" spans="1:23" s="312" customFormat="1" x14ac:dyDescent="0.3">
      <c r="A478" s="338"/>
      <c r="B478" s="338"/>
      <c r="C478" s="338"/>
      <c r="D478" s="338"/>
      <c r="E478" s="338"/>
      <c r="F478" s="338"/>
      <c r="G478" s="338"/>
      <c r="H478" s="544"/>
      <c r="I478" s="348"/>
      <c r="J478" s="348" t="s">
        <v>210</v>
      </c>
      <c r="K478" s="338">
        <f>SUM(K463:K471)</f>
        <v>0</v>
      </c>
      <c r="L478" s="338"/>
      <c r="M478" s="338"/>
      <c r="N478" s="338"/>
      <c r="O478" s="338"/>
      <c r="P478" s="338"/>
      <c r="U478" s="470"/>
      <c r="V478" s="470"/>
      <c r="W478" s="470"/>
    </row>
    <row r="479" spans="1:23" ht="15" thickBot="1" x14ac:dyDescent="0.35"/>
    <row r="480" spans="1:23" ht="15" thickBot="1" x14ac:dyDescent="0.35">
      <c r="A480" s="577" t="s">
        <v>303</v>
      </c>
      <c r="B480" s="572"/>
      <c r="C480" s="572"/>
      <c r="D480" s="572"/>
      <c r="E480" s="573"/>
    </row>
    <row r="481" spans="1:23" ht="15" thickBot="1" x14ac:dyDescent="0.35">
      <c r="A481" s="577" t="s">
        <v>143</v>
      </c>
      <c r="B481" s="572"/>
      <c r="C481" s="573"/>
      <c r="D481" s="574" t="s">
        <v>126</v>
      </c>
      <c r="E481" s="574" t="s">
        <v>144</v>
      </c>
    </row>
    <row r="482" spans="1:23" x14ac:dyDescent="0.3">
      <c r="A482" s="332" t="s">
        <v>187</v>
      </c>
      <c r="B482" s="333"/>
      <c r="C482" s="334"/>
      <c r="D482" s="335"/>
      <c r="E482" s="335"/>
    </row>
    <row r="483" spans="1:23" x14ac:dyDescent="0.3">
      <c r="A483" s="326" t="s">
        <v>149</v>
      </c>
      <c r="B483" s="327"/>
      <c r="C483" s="328"/>
      <c r="D483" s="320"/>
      <c r="E483" s="320"/>
    </row>
    <row r="484" spans="1:23" x14ac:dyDescent="0.3">
      <c r="A484" s="343" t="s">
        <v>151</v>
      </c>
      <c r="B484" s="344"/>
      <c r="C484" s="345"/>
      <c r="D484" s="346"/>
      <c r="E484" s="346"/>
    </row>
    <row r="485" spans="1:23" ht="15" thickBot="1" x14ac:dyDescent="0.35">
      <c r="A485" s="329" t="s">
        <v>142</v>
      </c>
      <c r="B485" s="330"/>
      <c r="C485" s="331"/>
      <c r="D485" s="321"/>
      <c r="E485" s="321"/>
    </row>
    <row r="487" spans="1:23" s="163" customFormat="1" ht="46.8" x14ac:dyDescent="0.3">
      <c r="A487" s="578" t="s">
        <v>206</v>
      </c>
      <c r="B487" s="578" t="s">
        <v>35</v>
      </c>
      <c r="C487" s="578" t="s">
        <v>189</v>
      </c>
      <c r="D487" s="578" t="s">
        <v>207</v>
      </c>
      <c r="E487" s="578" t="s">
        <v>194</v>
      </c>
      <c r="F487" s="578" t="s">
        <v>154</v>
      </c>
      <c r="G487" s="580" t="s">
        <v>97</v>
      </c>
      <c r="H487" s="579" t="s">
        <v>5</v>
      </c>
      <c r="I487" s="580" t="s">
        <v>145</v>
      </c>
      <c r="J487" s="580" t="s">
        <v>190</v>
      </c>
      <c r="K487" s="580" t="s">
        <v>211</v>
      </c>
      <c r="L487" s="580" t="s">
        <v>153</v>
      </c>
      <c r="M487" s="580" t="s">
        <v>191</v>
      </c>
      <c r="N487" s="580"/>
      <c r="O487" s="580"/>
      <c r="P487" s="580"/>
      <c r="Q487" s="580" t="s">
        <v>192</v>
      </c>
      <c r="U487" s="465"/>
      <c r="V487" s="465"/>
      <c r="W487" s="465"/>
    </row>
    <row r="488" spans="1:23" s="312" customFormat="1" x14ac:dyDescent="0.3">
      <c r="A488" s="338">
        <v>1</v>
      </c>
      <c r="B488" s="338"/>
      <c r="C488" s="338"/>
      <c r="D488" s="349"/>
      <c r="E488" s="338"/>
      <c r="F488" s="338"/>
      <c r="G488" s="338"/>
      <c r="H488" s="542"/>
      <c r="I488" s="339"/>
      <c r="J488" s="339"/>
      <c r="K488" s="338"/>
      <c r="L488" s="349"/>
      <c r="O488" s="338"/>
      <c r="P488" s="338"/>
      <c r="Q488" s="338"/>
      <c r="U488" s="470"/>
      <c r="V488" s="470"/>
      <c r="W488" s="470"/>
    </row>
    <row r="489" spans="1:23" s="312" customFormat="1" x14ac:dyDescent="0.3">
      <c r="A489" s="338"/>
      <c r="B489" s="338"/>
      <c r="C489" s="338"/>
      <c r="D489" s="349"/>
      <c r="E489" s="338"/>
      <c r="F489" s="338"/>
      <c r="G489" s="338"/>
      <c r="H489" s="542"/>
      <c r="I489" s="339"/>
      <c r="J489" s="339"/>
      <c r="K489" s="338"/>
      <c r="L489" s="349"/>
      <c r="M489" s="338"/>
      <c r="N489" s="338"/>
      <c r="O489" s="338"/>
      <c r="P489" s="338"/>
      <c r="Q489" s="338"/>
      <c r="U489" s="470"/>
      <c r="V489" s="470"/>
      <c r="W489" s="470"/>
    </row>
    <row r="490" spans="1:23" s="312" customFormat="1" x14ac:dyDescent="0.3">
      <c r="A490" s="338"/>
      <c r="B490" s="338"/>
      <c r="C490" s="338"/>
      <c r="D490" s="349"/>
      <c r="E490" s="338"/>
      <c r="F490" s="338"/>
      <c r="G490" s="338"/>
      <c r="H490" s="542"/>
      <c r="I490" s="339"/>
      <c r="J490" s="339"/>
      <c r="K490" s="338"/>
      <c r="L490" s="349"/>
      <c r="M490" s="338"/>
      <c r="N490" s="338"/>
      <c r="O490" s="338"/>
      <c r="P490" s="338"/>
      <c r="Q490" s="347"/>
      <c r="U490" s="470"/>
      <c r="V490" s="470"/>
      <c r="W490" s="470"/>
    </row>
    <row r="491" spans="1:23" s="312" customFormat="1" x14ac:dyDescent="0.3">
      <c r="A491" s="338"/>
      <c r="B491" s="338"/>
      <c r="C491" s="338"/>
      <c r="D491" s="338"/>
      <c r="E491" s="338"/>
      <c r="F491" s="338"/>
      <c r="G491" s="338"/>
      <c r="H491" s="544"/>
      <c r="I491" s="348"/>
      <c r="J491" s="348" t="s">
        <v>210</v>
      </c>
      <c r="K491" s="338">
        <f>SUM(K488:K490)</f>
        <v>0</v>
      </c>
      <c r="L491" s="338"/>
      <c r="M491" s="338"/>
      <c r="N491" s="338"/>
      <c r="O491" s="338"/>
      <c r="P491" s="338"/>
      <c r="U491" s="470"/>
      <c r="V491" s="470"/>
      <c r="W491" s="470"/>
    </row>
    <row r="492" spans="1:23" ht="15" thickBot="1" x14ac:dyDescent="0.35"/>
    <row r="493" spans="1:23" ht="15" thickBot="1" x14ac:dyDescent="0.35">
      <c r="A493" s="577" t="s">
        <v>306</v>
      </c>
      <c r="B493" s="572"/>
      <c r="C493" s="572"/>
      <c r="D493" s="572"/>
      <c r="E493" s="573"/>
    </row>
    <row r="494" spans="1:23" ht="15" thickBot="1" x14ac:dyDescent="0.35">
      <c r="A494" s="577" t="s">
        <v>143</v>
      </c>
      <c r="B494" s="572"/>
      <c r="C494" s="573"/>
      <c r="D494" s="574" t="s">
        <v>126</v>
      </c>
      <c r="E494" s="574" t="s">
        <v>144</v>
      </c>
    </row>
    <row r="495" spans="1:23" x14ac:dyDescent="0.3">
      <c r="A495" s="332" t="s">
        <v>187</v>
      </c>
      <c r="B495" s="333"/>
      <c r="C495" s="334"/>
      <c r="D495" s="335"/>
      <c r="E495" s="335"/>
    </row>
    <row r="496" spans="1:23" x14ac:dyDescent="0.3">
      <c r="A496" s="326" t="s">
        <v>149</v>
      </c>
      <c r="B496" s="327"/>
      <c r="C496" s="328"/>
      <c r="D496" s="320"/>
      <c r="E496" s="320"/>
    </row>
    <row r="497" spans="1:23" x14ac:dyDescent="0.3">
      <c r="A497" s="343" t="s">
        <v>151</v>
      </c>
      <c r="B497" s="344"/>
      <c r="C497" s="345"/>
      <c r="D497" s="346"/>
      <c r="E497" s="346"/>
    </row>
    <row r="498" spans="1:23" x14ac:dyDescent="0.3">
      <c r="A498" s="343" t="s">
        <v>142</v>
      </c>
      <c r="B498" s="344"/>
      <c r="C498" s="345"/>
      <c r="D498" s="346"/>
      <c r="E498" s="346"/>
    </row>
    <row r="499" spans="1:23" ht="15" thickBot="1" x14ac:dyDescent="0.35">
      <c r="A499" s="329" t="s">
        <v>125</v>
      </c>
      <c r="B499" s="330"/>
      <c r="C499" s="331"/>
      <c r="D499" s="321"/>
      <c r="E499" s="321"/>
    </row>
    <row r="501" spans="1:23" s="163" customFormat="1" ht="46.8" x14ac:dyDescent="0.3">
      <c r="A501" s="578" t="s">
        <v>206</v>
      </c>
      <c r="B501" s="578" t="s">
        <v>35</v>
      </c>
      <c r="C501" s="578" t="s">
        <v>189</v>
      </c>
      <c r="D501" s="578" t="s">
        <v>207</v>
      </c>
      <c r="E501" s="578" t="s">
        <v>96</v>
      </c>
      <c r="F501" s="578" t="s">
        <v>16</v>
      </c>
      <c r="G501" s="580" t="s">
        <v>97</v>
      </c>
      <c r="H501" s="579" t="s">
        <v>5</v>
      </c>
      <c r="I501" s="580" t="s">
        <v>145</v>
      </c>
      <c r="J501" s="580" t="s">
        <v>190</v>
      </c>
      <c r="K501" s="580" t="s">
        <v>211</v>
      </c>
      <c r="L501" s="580" t="s">
        <v>153</v>
      </c>
      <c r="M501" s="580" t="s">
        <v>191</v>
      </c>
      <c r="N501" s="580" t="s">
        <v>212</v>
      </c>
      <c r="O501" s="580"/>
      <c r="P501" s="580"/>
      <c r="Q501" s="580" t="s">
        <v>192</v>
      </c>
      <c r="U501" s="465"/>
      <c r="V501" s="465"/>
      <c r="W501" s="465"/>
    </row>
    <row r="502" spans="1:23" s="312" customFormat="1" x14ac:dyDescent="0.3">
      <c r="A502" s="338">
        <v>1</v>
      </c>
      <c r="B502" s="338"/>
      <c r="C502" s="338"/>
      <c r="D502" s="341"/>
      <c r="E502" s="338"/>
      <c r="F502" s="338"/>
      <c r="G502" s="338"/>
      <c r="H502" s="542"/>
      <c r="I502" s="339"/>
      <c r="J502" s="339"/>
      <c r="K502" s="338"/>
      <c r="L502" s="342"/>
      <c r="O502" s="338"/>
      <c r="P502" s="338"/>
      <c r="Q502" s="338"/>
      <c r="U502" s="470"/>
      <c r="V502" s="470"/>
      <c r="W502" s="470"/>
    </row>
    <row r="503" spans="1:23" s="312" customFormat="1" x14ac:dyDescent="0.3">
      <c r="A503" s="338">
        <v>2</v>
      </c>
      <c r="B503" s="338"/>
      <c r="C503" s="338"/>
      <c r="D503" s="341"/>
      <c r="E503" s="338"/>
      <c r="F503" s="338"/>
      <c r="G503" s="338"/>
      <c r="H503" s="542"/>
      <c r="I503" s="339"/>
      <c r="J503" s="339"/>
      <c r="K503" s="338"/>
      <c r="L503" s="342"/>
      <c r="M503" s="338"/>
      <c r="N503" s="338"/>
      <c r="O503" s="338"/>
      <c r="P503" s="338"/>
      <c r="Q503" s="338"/>
      <c r="U503" s="470"/>
      <c r="V503" s="470"/>
      <c r="W503" s="470"/>
    </row>
    <row r="504" spans="1:23" s="312" customFormat="1" x14ac:dyDescent="0.3">
      <c r="A504" s="338">
        <v>3</v>
      </c>
      <c r="B504" s="338"/>
      <c r="C504" s="338"/>
      <c r="D504" s="341"/>
      <c r="E504" s="338"/>
      <c r="F504" s="338"/>
      <c r="G504" s="338"/>
      <c r="H504" s="542"/>
      <c r="I504" s="339"/>
      <c r="J504" s="339"/>
      <c r="K504" s="338"/>
      <c r="L504" s="342"/>
      <c r="M504" s="338"/>
      <c r="N504" s="338"/>
      <c r="O504" s="338"/>
      <c r="P504" s="338"/>
      <c r="Q504" s="338"/>
      <c r="U504" s="470"/>
      <c r="V504" s="470"/>
      <c r="W504" s="470"/>
    </row>
    <row r="505" spans="1:23" s="312" customFormat="1" x14ac:dyDescent="0.3">
      <c r="A505" s="338">
        <v>4</v>
      </c>
      <c r="B505" s="338"/>
      <c r="C505" s="338"/>
      <c r="D505" s="341"/>
      <c r="E505" s="338"/>
      <c r="F505" s="338"/>
      <c r="G505" s="338"/>
      <c r="H505" s="542"/>
      <c r="I505" s="339"/>
      <c r="J505" s="339"/>
      <c r="K505" s="338"/>
      <c r="L505" s="342"/>
      <c r="M505" s="338"/>
      <c r="N505" s="338"/>
      <c r="O505" s="338"/>
      <c r="P505" s="338"/>
      <c r="Q505" s="347"/>
      <c r="U505" s="470"/>
      <c r="V505" s="470"/>
      <c r="W505" s="470"/>
    </row>
    <row r="506" spans="1:23" s="312" customFormat="1" x14ac:dyDescent="0.3">
      <c r="A506" s="338">
        <v>5</v>
      </c>
      <c r="B506" s="338"/>
      <c r="C506" s="338"/>
      <c r="D506" s="341"/>
      <c r="E506" s="338"/>
      <c r="F506" s="338"/>
      <c r="G506" s="338"/>
      <c r="H506" s="542"/>
      <c r="I506" s="339"/>
      <c r="J506" s="339"/>
      <c r="K506" s="338"/>
      <c r="L506" s="342"/>
      <c r="M506" s="338"/>
      <c r="N506" s="338"/>
      <c r="O506" s="338"/>
      <c r="P506" s="338"/>
      <c r="Q506" s="347"/>
      <c r="U506" s="470"/>
      <c r="V506" s="470"/>
      <c r="W506" s="470"/>
    </row>
    <row r="507" spans="1:23" s="312" customFormat="1" x14ac:dyDescent="0.3">
      <c r="A507" s="338"/>
      <c r="B507" s="338"/>
      <c r="C507" s="338"/>
      <c r="D507" s="338"/>
      <c r="E507" s="338"/>
      <c r="F507" s="338"/>
      <c r="G507" s="338"/>
      <c r="H507" s="544"/>
      <c r="I507" s="348"/>
      <c r="J507" s="348" t="s">
        <v>210</v>
      </c>
      <c r="K507" s="338">
        <f>SUM(K502:K506)</f>
        <v>0</v>
      </c>
      <c r="L507" s="338"/>
      <c r="M507" s="338"/>
      <c r="N507" s="338"/>
      <c r="O507" s="338"/>
      <c r="P507" s="338"/>
      <c r="U507" s="470"/>
      <c r="V507" s="470"/>
      <c r="W507" s="470"/>
    </row>
    <row r="508" spans="1:23" ht="15" thickBot="1" x14ac:dyDescent="0.35"/>
    <row r="509" spans="1:23" ht="15" thickBot="1" x14ac:dyDescent="0.35">
      <c r="A509" s="577" t="s">
        <v>304</v>
      </c>
      <c r="B509" s="572"/>
      <c r="C509" s="572"/>
      <c r="D509" s="572"/>
      <c r="E509" s="573"/>
    </row>
    <row r="510" spans="1:23" ht="15" thickBot="1" x14ac:dyDescent="0.35">
      <c r="A510" s="577" t="s">
        <v>143</v>
      </c>
      <c r="B510" s="572"/>
      <c r="C510" s="573"/>
      <c r="D510" s="574" t="s">
        <v>126</v>
      </c>
      <c r="E510" s="574" t="s">
        <v>144</v>
      </c>
    </row>
    <row r="511" spans="1:23" x14ac:dyDescent="0.3">
      <c r="A511" s="332" t="s">
        <v>187</v>
      </c>
      <c r="B511" s="333"/>
      <c r="C511" s="334"/>
      <c r="D511" s="335"/>
      <c r="E511" s="335"/>
    </row>
    <row r="512" spans="1:23" x14ac:dyDescent="0.3">
      <c r="A512" s="326" t="s">
        <v>155</v>
      </c>
      <c r="B512" s="327"/>
      <c r="C512" s="328"/>
      <c r="D512" s="320"/>
      <c r="E512" s="320"/>
    </row>
    <row r="513" spans="1:6" x14ac:dyDescent="0.3">
      <c r="A513" s="343" t="s">
        <v>125</v>
      </c>
      <c r="B513" s="344"/>
      <c r="C513" s="345"/>
      <c r="D513" s="346"/>
      <c r="E513" s="346"/>
    </row>
    <row r="514" spans="1:6" x14ac:dyDescent="0.3">
      <c r="A514" s="343" t="s">
        <v>195</v>
      </c>
      <c r="B514" s="344"/>
      <c r="C514" s="345"/>
      <c r="D514" s="346"/>
      <c r="E514" s="346"/>
    </row>
    <row r="515" spans="1:6" ht="15" thickBot="1" x14ac:dyDescent="0.35">
      <c r="A515" s="329"/>
      <c r="B515" s="330"/>
      <c r="C515" s="331"/>
      <c r="D515" s="321"/>
      <c r="E515" s="321"/>
    </row>
    <row r="516" spans="1:6" ht="15" thickBot="1" x14ac:dyDescent="0.35"/>
    <row r="517" spans="1:6" ht="15" thickBot="1" x14ac:dyDescent="0.35">
      <c r="A517" s="577" t="s">
        <v>305</v>
      </c>
      <c r="B517" s="572"/>
      <c r="C517" s="572"/>
      <c r="D517" s="572"/>
      <c r="E517" s="573"/>
    </row>
    <row r="518" spans="1:6" ht="15" thickBot="1" x14ac:dyDescent="0.35">
      <c r="A518" s="577" t="s">
        <v>143</v>
      </c>
      <c r="B518" s="572"/>
      <c r="C518" s="573"/>
      <c r="D518" s="574" t="s">
        <v>126</v>
      </c>
      <c r="E518" s="574" t="s">
        <v>144</v>
      </c>
    </row>
    <row r="519" spans="1:6" x14ac:dyDescent="0.3">
      <c r="A519" s="332" t="s">
        <v>187</v>
      </c>
      <c r="B519" s="333"/>
      <c r="C519" s="334"/>
      <c r="D519" s="335"/>
      <c r="E519" s="335"/>
    </row>
    <row r="520" spans="1:6" x14ac:dyDescent="0.3">
      <c r="A520" s="326" t="s">
        <v>149</v>
      </c>
      <c r="B520" s="327"/>
      <c r="C520" s="328"/>
      <c r="D520" s="320"/>
      <c r="E520" s="320"/>
    </row>
    <row r="521" spans="1:6" x14ac:dyDescent="0.3">
      <c r="A521" s="343" t="s">
        <v>156</v>
      </c>
      <c r="B521" s="344"/>
      <c r="C521" s="345"/>
      <c r="D521" s="346"/>
      <c r="E521" s="346"/>
    </row>
    <row r="522" spans="1:6" x14ac:dyDescent="0.3">
      <c r="A522" s="343" t="s">
        <v>142</v>
      </c>
      <c r="B522" s="344"/>
      <c r="C522" s="345"/>
      <c r="D522" s="346"/>
      <c r="E522" s="346"/>
    </row>
    <row r="523" spans="1:6" ht="15" thickBot="1" x14ac:dyDescent="0.35">
      <c r="A523" s="329" t="s">
        <v>125</v>
      </c>
      <c r="B523" s="330"/>
      <c r="C523" s="331"/>
      <c r="D523" s="321"/>
      <c r="E523" s="321"/>
    </row>
    <row r="524" spans="1:6" ht="15" thickBot="1" x14ac:dyDescent="0.35"/>
    <row r="525" spans="1:6" ht="15" thickBot="1" x14ac:dyDescent="0.35">
      <c r="A525" s="577" t="s">
        <v>157</v>
      </c>
      <c r="B525" s="572"/>
      <c r="C525" s="572"/>
      <c r="D525" s="572"/>
      <c r="E525" s="573"/>
    </row>
    <row r="526" spans="1:6" ht="15" thickBot="1" x14ac:dyDescent="0.35">
      <c r="A526" s="577" t="s">
        <v>143</v>
      </c>
      <c r="B526" s="572"/>
      <c r="C526" s="573"/>
      <c r="D526" s="574" t="s">
        <v>126</v>
      </c>
      <c r="E526" s="574" t="s">
        <v>144</v>
      </c>
      <c r="F526" s="574" t="s">
        <v>36</v>
      </c>
    </row>
    <row r="527" spans="1:6" x14ac:dyDescent="0.3">
      <c r="A527" s="332" t="s">
        <v>158</v>
      </c>
      <c r="B527" s="333"/>
      <c r="C527" s="334"/>
      <c r="D527" s="335"/>
      <c r="E527" s="335"/>
      <c r="F527" s="366"/>
    </row>
    <row r="528" spans="1:6" x14ac:dyDescent="0.3">
      <c r="A528" s="332" t="s">
        <v>159</v>
      </c>
      <c r="B528" s="327"/>
      <c r="C528" s="328"/>
      <c r="D528" s="320"/>
      <c r="E528" s="320"/>
      <c r="F528" s="367"/>
    </row>
    <row r="529" spans="1:7" x14ac:dyDescent="0.3">
      <c r="A529" s="343" t="s">
        <v>196</v>
      </c>
      <c r="B529" s="344"/>
      <c r="C529" s="345"/>
      <c r="D529" s="346"/>
      <c r="E529" s="346"/>
      <c r="F529" s="368"/>
    </row>
    <row r="530" spans="1:7" x14ac:dyDescent="0.3">
      <c r="A530" s="343"/>
      <c r="B530" s="344"/>
      <c r="C530" s="345"/>
      <c r="D530" s="346"/>
      <c r="E530" s="346"/>
      <c r="F530" s="368"/>
    </row>
    <row r="531" spans="1:7" ht="15" thickBot="1" x14ac:dyDescent="0.35">
      <c r="A531" s="343"/>
      <c r="B531" s="344"/>
      <c r="C531" s="345"/>
      <c r="D531" s="346"/>
      <c r="E531" s="346"/>
      <c r="F531" s="368"/>
    </row>
    <row r="532" spans="1:7" ht="15" thickBot="1" x14ac:dyDescent="0.35">
      <c r="A532" s="336" t="s">
        <v>197</v>
      </c>
      <c r="B532" s="197"/>
      <c r="C532" s="197"/>
      <c r="D532" s="364"/>
      <c r="E532" s="365"/>
      <c r="F532" s="369"/>
    </row>
    <row r="533" spans="1:7" ht="15" thickBot="1" x14ac:dyDescent="0.35">
      <c r="A533" s="336" t="s">
        <v>198</v>
      </c>
      <c r="B533" s="197"/>
      <c r="C533" s="197"/>
      <c r="D533" s="364"/>
      <c r="E533" s="365"/>
      <c r="F533" s="369"/>
    </row>
    <row r="534" spans="1:7" x14ac:dyDescent="0.3">
      <c r="A534" s="361" t="s">
        <v>199</v>
      </c>
      <c r="B534" s="196"/>
      <c r="C534" s="362"/>
      <c r="D534" s="363"/>
      <c r="E534" s="363"/>
      <c r="F534" s="370"/>
    </row>
    <row r="535" spans="1:7" ht="15" thickBot="1" x14ac:dyDescent="0.35">
      <c r="A535" s="329"/>
      <c r="B535" s="330"/>
      <c r="C535" s="331"/>
      <c r="D535" s="321"/>
      <c r="E535" s="321"/>
      <c r="F535" s="321"/>
    </row>
    <row r="536" spans="1:7" ht="15" thickBot="1" x14ac:dyDescent="0.35"/>
    <row r="537" spans="1:7" ht="15" thickBot="1" x14ac:dyDescent="0.35">
      <c r="A537" s="577" t="s">
        <v>160</v>
      </c>
      <c r="B537" s="572"/>
      <c r="C537" s="572"/>
      <c r="D537" s="572"/>
      <c r="E537" s="573"/>
    </row>
    <row r="538" spans="1:7" ht="15" thickBot="1" x14ac:dyDescent="0.35">
      <c r="A538" s="577" t="s">
        <v>143</v>
      </c>
      <c r="B538" s="572"/>
      <c r="C538" s="573"/>
      <c r="D538" s="574" t="s">
        <v>126</v>
      </c>
      <c r="E538" s="574" t="s">
        <v>144</v>
      </c>
    </row>
    <row r="539" spans="1:7" x14ac:dyDescent="0.3">
      <c r="A539" s="332" t="s">
        <v>207</v>
      </c>
      <c r="B539" s="333"/>
      <c r="C539" s="334"/>
      <c r="D539" s="335"/>
      <c r="E539" s="335"/>
    </row>
    <row r="540" spans="1:7" ht="15" thickBot="1" x14ac:dyDescent="0.35">
      <c r="A540" s="270"/>
      <c r="B540" s="196"/>
      <c r="C540" s="196"/>
      <c r="D540" s="325"/>
      <c r="E540" s="325"/>
      <c r="F540" s="371"/>
    </row>
    <row r="541" spans="1:7" ht="15" thickBot="1" x14ac:dyDescent="0.35">
      <c r="A541" s="577" t="s">
        <v>161</v>
      </c>
      <c r="B541" s="572"/>
      <c r="C541" s="572"/>
      <c r="D541" s="572"/>
      <c r="E541" s="573"/>
    </row>
    <row r="542" spans="1:7" ht="15" thickBot="1" x14ac:dyDescent="0.35">
      <c r="A542" s="577" t="s">
        <v>143</v>
      </c>
      <c r="B542" s="572"/>
      <c r="C542" s="573"/>
      <c r="D542" s="574" t="s">
        <v>126</v>
      </c>
      <c r="E542" s="574" t="s">
        <v>144</v>
      </c>
      <c r="F542" s="574" t="s">
        <v>162</v>
      </c>
      <c r="G542" s="574" t="s">
        <v>164</v>
      </c>
    </row>
    <row r="543" spans="1:7" x14ac:dyDescent="0.3">
      <c r="A543" s="317" t="s">
        <v>213</v>
      </c>
      <c r="B543" s="318"/>
      <c r="C543" s="318"/>
      <c r="D543" s="373"/>
      <c r="E543" s="373"/>
      <c r="F543" s="374"/>
      <c r="G543" s="375"/>
    </row>
    <row r="544" spans="1:7" ht="15" thickBot="1" x14ac:dyDescent="0.35">
      <c r="A544" s="379" t="s">
        <v>163</v>
      </c>
      <c r="B544" s="195"/>
      <c r="C544" s="195"/>
      <c r="D544" s="380"/>
      <c r="E544" s="380"/>
      <c r="F544" s="381"/>
      <c r="G544" s="382"/>
    </row>
    <row r="545" spans="1:23" x14ac:dyDescent="0.3">
      <c r="A545" s="317" t="s">
        <v>200</v>
      </c>
      <c r="B545" s="318"/>
      <c r="C545" s="318"/>
      <c r="D545" s="373"/>
      <c r="E545" s="373"/>
      <c r="F545" s="383"/>
      <c r="G545" s="384"/>
    </row>
    <row r="546" spans="1:23" x14ac:dyDescent="0.3">
      <c r="A546" s="319" t="s">
        <v>213</v>
      </c>
      <c r="B546" s="184"/>
      <c r="C546" s="184"/>
      <c r="D546" s="376"/>
      <c r="E546" s="376"/>
      <c r="F546" s="274"/>
      <c r="G546" s="377"/>
    </row>
    <row r="547" spans="1:23" x14ac:dyDescent="0.3">
      <c r="A547" s="319" t="s">
        <v>163</v>
      </c>
      <c r="B547" s="184"/>
      <c r="C547" s="184"/>
      <c r="D547" s="376"/>
      <c r="E547" s="376"/>
      <c r="F547" s="274"/>
      <c r="G547" s="377"/>
    </row>
    <row r="548" spans="1:23" x14ac:dyDescent="0.3">
      <c r="A548" s="319" t="s">
        <v>201</v>
      </c>
      <c r="B548" s="184"/>
      <c r="C548" s="184"/>
      <c r="D548" s="376"/>
      <c r="E548" s="376"/>
      <c r="F548" s="274"/>
      <c r="G548" s="377"/>
    </row>
    <row r="549" spans="1:23" x14ac:dyDescent="0.3">
      <c r="A549" s="582" t="s">
        <v>202</v>
      </c>
      <c r="B549" s="583"/>
      <c r="C549" s="583"/>
      <c r="D549" s="584"/>
      <c r="E549" s="585"/>
      <c r="F549" s="586"/>
      <c r="G549" s="370"/>
    </row>
    <row r="550" spans="1:23" ht="15" thickBot="1" x14ac:dyDescent="0.35">
      <c r="A550" s="270"/>
      <c r="B550" s="196"/>
      <c r="C550" s="196"/>
      <c r="D550" s="404"/>
      <c r="E550" s="325"/>
      <c r="F550" s="405"/>
      <c r="G550" s="406"/>
      <c r="H550" s="548"/>
      <c r="I550" s="172"/>
      <c r="J550" s="172"/>
      <c r="K550" s="172"/>
      <c r="L550" s="172"/>
      <c r="M550" s="172"/>
      <c r="N550" s="172"/>
      <c r="O550" s="172"/>
    </row>
    <row r="551" spans="1:23" ht="26.4" thickBot="1" x14ac:dyDescent="0.55000000000000004">
      <c r="A551" s="493" t="s">
        <v>398</v>
      </c>
      <c r="B551" s="494"/>
      <c r="C551" s="494"/>
      <c r="D551" s="494"/>
      <c r="E551" s="494"/>
      <c r="F551" s="494"/>
      <c r="G551" s="494"/>
      <c r="H551" s="549"/>
      <c r="I551" s="494"/>
      <c r="J551" s="494"/>
      <c r="K551" s="494"/>
      <c r="L551" s="494"/>
      <c r="M551" s="494"/>
      <c r="N551" s="494"/>
      <c r="O551" s="494"/>
      <c r="P551" s="495"/>
    </row>
    <row r="552" spans="1:23" s="163" customFormat="1" ht="15" thickBot="1" x14ac:dyDescent="0.35">
      <c r="A552" s="412" t="str">
        <f>+Experiencia!C19</f>
        <v>CONSORCIO UNI-INGENIEROS FACEA 2019</v>
      </c>
      <c r="B552" s="402"/>
      <c r="C552" s="402"/>
      <c r="D552" s="402"/>
      <c r="E552" s="402"/>
      <c r="F552" s="402"/>
      <c r="G552" s="402"/>
      <c r="H552" s="546"/>
      <c r="I552" s="402"/>
      <c r="J552" s="402"/>
      <c r="K552" s="402"/>
      <c r="L552" s="402"/>
      <c r="M552" s="402"/>
      <c r="N552" s="402"/>
      <c r="O552" s="403"/>
      <c r="P552" s="170"/>
      <c r="U552" s="465"/>
      <c r="V552" s="465"/>
      <c r="W552" s="465"/>
    </row>
    <row r="553" spans="1:23" s="169" customFormat="1" ht="35.4" x14ac:dyDescent="0.3">
      <c r="A553" s="180" t="s">
        <v>2</v>
      </c>
      <c r="B553" s="182" t="s">
        <v>189</v>
      </c>
      <c r="C553" s="181" t="s">
        <v>35</v>
      </c>
      <c r="D553" s="182" t="s">
        <v>96</v>
      </c>
      <c r="E553" s="182" t="s">
        <v>165</v>
      </c>
      <c r="F553" s="182" t="s">
        <v>97</v>
      </c>
      <c r="G553" s="182" t="s">
        <v>5</v>
      </c>
      <c r="H553" s="536" t="s">
        <v>99</v>
      </c>
      <c r="I553" s="182" t="s">
        <v>203</v>
      </c>
      <c r="J553" s="182" t="s">
        <v>141</v>
      </c>
      <c r="K553" s="182" t="s">
        <v>224</v>
      </c>
      <c r="L553" s="182" t="s">
        <v>204</v>
      </c>
      <c r="M553" s="182" t="s">
        <v>140</v>
      </c>
      <c r="N553" s="182" t="s">
        <v>214</v>
      </c>
      <c r="O553" s="182" t="s">
        <v>100</v>
      </c>
      <c r="P553" s="182" t="s">
        <v>94</v>
      </c>
      <c r="Q553" s="171"/>
      <c r="U553" s="465"/>
      <c r="V553" s="465"/>
      <c r="W553" s="465"/>
    </row>
    <row r="554" spans="1:23" s="312" customFormat="1" x14ac:dyDescent="0.3">
      <c r="A554" s="305">
        <v>1</v>
      </c>
      <c r="B554" s="305"/>
      <c r="C554" s="305"/>
      <c r="D554" s="305"/>
      <c r="E554" s="305"/>
      <c r="F554" s="305"/>
      <c r="G554" s="305"/>
      <c r="H554" s="537"/>
      <c r="I554" s="313"/>
      <c r="J554" s="306"/>
      <c r="K554" s="307"/>
      <c r="L554" s="308"/>
      <c r="M554" s="308"/>
      <c r="N554" s="309">
        <f>+M554*L554*K554</f>
        <v>0</v>
      </c>
      <c r="O554" s="309">
        <f>+M554*L554*J554</f>
        <v>0</v>
      </c>
      <c r="P554" s="310"/>
      <c r="Q554" s="311"/>
      <c r="U554" s="470"/>
      <c r="V554" s="470"/>
      <c r="W554" s="470"/>
    </row>
    <row r="555" spans="1:23" s="312" customFormat="1" x14ac:dyDescent="0.3">
      <c r="A555" s="305">
        <v>2</v>
      </c>
      <c r="B555" s="305"/>
      <c r="C555" s="305"/>
      <c r="D555" s="305"/>
      <c r="E555" s="305"/>
      <c r="F555" s="305"/>
      <c r="G555" s="305"/>
      <c r="H555" s="537"/>
      <c r="I555" s="313"/>
      <c r="J555" s="306"/>
      <c r="K555" s="307"/>
      <c r="L555" s="308"/>
      <c r="M555" s="308"/>
      <c r="N555" s="309">
        <f>+M555*L555*K555</f>
        <v>0</v>
      </c>
      <c r="O555" s="309">
        <f>+M555*L555*J555</f>
        <v>0</v>
      </c>
      <c r="P555" s="310"/>
      <c r="Q555" s="311"/>
      <c r="U555" s="470"/>
      <c r="V555" s="470"/>
      <c r="W555" s="470"/>
    </row>
    <row r="556" spans="1:23" s="163" customFormat="1" x14ac:dyDescent="0.3">
      <c r="A556" s="183">
        <v>3</v>
      </c>
      <c r="B556" s="183"/>
      <c r="C556" s="183"/>
      <c r="D556" s="183"/>
      <c r="E556" s="183"/>
      <c r="F556" s="305"/>
      <c r="G556" s="186"/>
      <c r="H556" s="538"/>
      <c r="I556" s="304"/>
      <c r="J556" s="306"/>
      <c r="K556" s="305"/>
      <c r="L556" s="308"/>
      <c r="M556" s="308"/>
      <c r="N556" s="309">
        <f>+M556*L556*K556</f>
        <v>0</v>
      </c>
      <c r="O556" s="309">
        <f>+M556*L556*J556</f>
        <v>0</v>
      </c>
      <c r="P556" s="360"/>
      <c r="Q556" s="315"/>
      <c r="R556" s="314"/>
      <c r="U556" s="465"/>
      <c r="V556" s="465"/>
      <c r="W556" s="465"/>
    </row>
    <row r="557" spans="1:23" s="312" customFormat="1" x14ac:dyDescent="0.3">
      <c r="A557" s="305">
        <v>4</v>
      </c>
      <c r="B557" s="183"/>
      <c r="C557" s="183"/>
      <c r="D557" s="183"/>
      <c r="E557" s="183"/>
      <c r="F557" s="305"/>
      <c r="G557" s="186"/>
      <c r="H557" s="538"/>
      <c r="I557" s="304"/>
      <c r="J557" s="306"/>
      <c r="K557" s="305"/>
      <c r="L557" s="308"/>
      <c r="M557" s="308"/>
      <c r="N557" s="309">
        <f>+M557*L557*K557</f>
        <v>0</v>
      </c>
      <c r="O557" s="309">
        <f>+M557*L557*J557</f>
        <v>0</v>
      </c>
      <c r="P557" s="310"/>
      <c r="Q557" s="311"/>
      <c r="U557" s="470"/>
      <c r="V557" s="470"/>
      <c r="W557" s="470"/>
    </row>
    <row r="558" spans="1:23" s="163" customFormat="1" x14ac:dyDescent="0.3">
      <c r="A558" s="183">
        <v>5</v>
      </c>
      <c r="B558" s="183"/>
      <c r="C558" s="183"/>
      <c r="D558" s="183"/>
      <c r="E558" s="183"/>
      <c r="F558" s="183"/>
      <c r="G558" s="186"/>
      <c r="H558" s="538"/>
      <c r="I558" s="304"/>
      <c r="J558" s="306"/>
      <c r="K558" s="186"/>
      <c r="L558" s="188"/>
      <c r="M558" s="188"/>
      <c r="N558" s="316">
        <v>0</v>
      </c>
      <c r="O558" s="309">
        <v>0</v>
      </c>
      <c r="P558" s="310"/>
      <c r="Q558" s="173"/>
      <c r="U558" s="465"/>
      <c r="V558" s="465"/>
      <c r="W558" s="465"/>
    </row>
    <row r="559" spans="1:23" s="163" customFormat="1" x14ac:dyDescent="0.3">
      <c r="A559" s="183"/>
      <c r="B559" s="183"/>
      <c r="C559" s="183"/>
      <c r="D559" s="183"/>
      <c r="E559" s="183"/>
      <c r="F559" s="183"/>
      <c r="G559" s="186"/>
      <c r="H559" s="538"/>
      <c r="I559" s="304"/>
      <c r="J559" s="186"/>
      <c r="K559" s="186"/>
      <c r="L559" s="188"/>
      <c r="M559" s="188"/>
      <c r="N559" s="188"/>
      <c r="O559" s="188"/>
      <c r="P559" s="185"/>
      <c r="Q559" s="173"/>
      <c r="U559" s="465"/>
      <c r="V559" s="465"/>
      <c r="W559" s="465"/>
    </row>
    <row r="560" spans="1:23" s="163" customFormat="1" ht="15" thickBot="1" x14ac:dyDescent="0.35">
      <c r="A560" s="183"/>
      <c r="B560" s="183"/>
      <c r="C560" s="183"/>
      <c r="D560" s="183"/>
      <c r="E560" s="183"/>
      <c r="F560" s="183"/>
      <c r="G560" s="186"/>
      <c r="H560" s="538"/>
      <c r="I560" s="187"/>
      <c r="J560" s="186"/>
      <c r="K560" s="186"/>
      <c r="L560" s="188"/>
      <c r="M560" s="188"/>
      <c r="N560" s="188"/>
      <c r="O560" s="188"/>
      <c r="P560" s="185"/>
      <c r="Q560" s="173"/>
      <c r="U560" s="465"/>
      <c r="V560" s="465"/>
      <c r="W560" s="465"/>
    </row>
    <row r="561" spans="1:48" s="163" customFormat="1" ht="29.4" thickBot="1" x14ac:dyDescent="0.35">
      <c r="A561" s="189"/>
      <c r="B561" s="189"/>
      <c r="C561" s="189"/>
      <c r="D561" s="189"/>
      <c r="E561" s="189"/>
      <c r="F561" s="189"/>
      <c r="G561" s="476" t="s">
        <v>234</v>
      </c>
      <c r="H561" s="539"/>
      <c r="I561" s="190"/>
      <c r="J561" s="190"/>
      <c r="K561" s="190"/>
      <c r="L561" s="191"/>
      <c r="M561" s="191"/>
      <c r="N561" s="198">
        <f>SUM(N554:N560)</f>
        <v>0</v>
      </c>
      <c r="O561" s="192"/>
      <c r="P561" s="193"/>
      <c r="Q561" s="173"/>
      <c r="U561" s="480" t="s">
        <v>250</v>
      </c>
      <c r="V561" s="465" t="s">
        <v>251</v>
      </c>
      <c r="W561" s="482" t="s">
        <v>252</v>
      </c>
      <c r="X561" s="480" t="s">
        <v>250</v>
      </c>
      <c r="Y561" s="465" t="s">
        <v>251</v>
      </c>
      <c r="Z561" s="482" t="s">
        <v>252</v>
      </c>
      <c r="AB561" s="480" t="s">
        <v>250</v>
      </c>
      <c r="AC561" s="465" t="s">
        <v>251</v>
      </c>
      <c r="AD561" s="482" t="s">
        <v>252</v>
      </c>
    </row>
    <row r="562" spans="1:48" s="163" customFormat="1" ht="15.75" customHeight="1" thickBot="1" x14ac:dyDescent="0.35">
      <c r="A562" s="189"/>
      <c r="B562" s="189"/>
      <c r="C562" s="189"/>
      <c r="D562" s="189"/>
      <c r="E562" s="189"/>
      <c r="F562" s="189"/>
      <c r="G562" s="476" t="s">
        <v>235</v>
      </c>
      <c r="H562" s="539"/>
      <c r="I562" s="190"/>
      <c r="J562" s="190"/>
      <c r="K562" s="190"/>
      <c r="L562" s="190"/>
      <c r="M562" s="190"/>
      <c r="N562" s="198"/>
      <c r="O562" s="194">
        <f>SUM(O554:O561)</f>
        <v>0</v>
      </c>
      <c r="P562" s="189"/>
      <c r="Q562" s="173"/>
      <c r="U562" s="474">
        <v>40224</v>
      </c>
      <c r="V562" s="474">
        <v>40359</v>
      </c>
      <c r="W562" s="475">
        <f>+((V562-U562)+1)/30</f>
        <v>4.5333333333333332</v>
      </c>
      <c r="X562" s="474">
        <v>40926</v>
      </c>
      <c r="Y562" s="474">
        <v>41068</v>
      </c>
      <c r="Z562" s="475">
        <f>+((Y562-X562)+1)/30</f>
        <v>4.7666666666666666</v>
      </c>
      <c r="AB562" s="474">
        <v>41457</v>
      </c>
      <c r="AC562" s="474">
        <v>41506</v>
      </c>
      <c r="AD562" s="475">
        <f>+((AC562-AB562)+1)/30</f>
        <v>1.6666666666666667</v>
      </c>
    </row>
    <row r="563" spans="1:48" ht="15" thickBot="1" x14ac:dyDescent="0.35">
      <c r="U563" s="464">
        <v>40410</v>
      </c>
      <c r="V563" s="464">
        <v>40448</v>
      </c>
      <c r="W563" s="475">
        <f>+((V563-U563)+1)/30</f>
        <v>1.3</v>
      </c>
      <c r="X563" s="485">
        <v>41164</v>
      </c>
      <c r="Y563" s="485">
        <v>41230</v>
      </c>
      <c r="Z563" s="475">
        <f>+((Y563-X563)+1)/30</f>
        <v>2.2333333333333334</v>
      </c>
      <c r="AB563" s="485">
        <v>41519</v>
      </c>
      <c r="AC563" s="485">
        <v>41654</v>
      </c>
      <c r="AD563" s="475">
        <f>+((AC563-AB563)+1)/30</f>
        <v>4.5333333333333332</v>
      </c>
    </row>
    <row r="564" spans="1:48" s="312" customFormat="1" ht="36.6" thickBot="1" x14ac:dyDescent="0.35">
      <c r="A564" s="560" t="s">
        <v>15</v>
      </c>
      <c r="B564" s="561"/>
      <c r="C564" s="564" t="s">
        <v>401</v>
      </c>
      <c r="D564" s="561"/>
      <c r="E564" s="562"/>
      <c r="F564" s="563" t="s">
        <v>506</v>
      </c>
      <c r="G564" s="520"/>
      <c r="H564" s="554"/>
      <c r="I564" s="521"/>
      <c r="J564" s="521"/>
      <c r="K564" s="521"/>
      <c r="L564" s="521"/>
      <c r="M564" s="521"/>
      <c r="N564" s="521"/>
      <c r="O564" s="521"/>
      <c r="P564" s="311"/>
      <c r="U564" s="471">
        <v>40505</v>
      </c>
      <c r="V564" s="471">
        <v>40633</v>
      </c>
      <c r="W564" s="475">
        <f>+((V564-U564)+1)/30</f>
        <v>4.3</v>
      </c>
      <c r="X564" s="522">
        <v>41381</v>
      </c>
      <c r="Y564" s="522">
        <v>41425</v>
      </c>
      <c r="Z564" s="475">
        <f>+((Y564-X564)+1)/30</f>
        <v>1.5</v>
      </c>
      <c r="AB564" s="522"/>
      <c r="AC564" s="522"/>
      <c r="AD564" s="475">
        <f>+((AC564-AB564)+0)/30</f>
        <v>0</v>
      </c>
    </row>
    <row r="565" spans="1:48" s="163" customFormat="1" ht="15" thickBot="1" x14ac:dyDescent="0.35">
      <c r="A565" s="496" t="s">
        <v>143</v>
      </c>
      <c r="B565" s="497"/>
      <c r="C565" s="498"/>
      <c r="D565" s="499" t="s">
        <v>126</v>
      </c>
      <c r="E565" s="499" t="s">
        <v>144</v>
      </c>
      <c r="F565" s="268"/>
      <c r="G565" s="269"/>
      <c r="H565" s="540"/>
      <c r="I565" s="196"/>
      <c r="J565" s="196"/>
      <c r="K565" s="196"/>
      <c r="L565" s="196"/>
      <c r="M565" s="196"/>
      <c r="N565" s="196"/>
      <c r="O565" s="196"/>
      <c r="P565" s="173"/>
      <c r="U565" s="465"/>
      <c r="V565" s="483" t="s">
        <v>292</v>
      </c>
      <c r="W565" s="481">
        <f>SUM(W562:W564)</f>
        <v>10.133333333333333</v>
      </c>
      <c r="Y565" s="483" t="s">
        <v>292</v>
      </c>
      <c r="Z565" s="481">
        <f>SUM(Z562:Z564)</f>
        <v>8.5</v>
      </c>
      <c r="AC565" s="483" t="s">
        <v>292</v>
      </c>
      <c r="AD565" s="481">
        <f>SUM(AD562:AD564)</f>
        <v>6.2</v>
      </c>
    </row>
    <row r="566" spans="1:48" s="163" customFormat="1" x14ac:dyDescent="0.3">
      <c r="A566" s="332" t="s">
        <v>187</v>
      </c>
      <c r="B566" s="333"/>
      <c r="C566" s="529"/>
      <c r="D566" s="335" t="s">
        <v>90</v>
      </c>
      <c r="E566" s="335"/>
      <c r="F566" s="268"/>
      <c r="G566" s="269"/>
      <c r="H566" s="540"/>
      <c r="I566" s="196"/>
      <c r="J566" s="196"/>
      <c r="K566" s="196"/>
      <c r="L566" s="196"/>
      <c r="M566" s="196"/>
      <c r="N566" s="196"/>
      <c r="O566" s="196"/>
      <c r="P566" s="173"/>
      <c r="U566" s="465"/>
      <c r="V566" s="465"/>
      <c r="W566" s="465"/>
    </row>
    <row r="567" spans="1:48" s="163" customFormat="1" x14ac:dyDescent="0.3">
      <c r="A567" s="326" t="s">
        <v>188</v>
      </c>
      <c r="B567" s="327"/>
      <c r="C567" s="328"/>
      <c r="D567" s="320" t="s">
        <v>90</v>
      </c>
      <c r="E567" s="320"/>
      <c r="F567" s="268"/>
      <c r="G567" s="269"/>
      <c r="H567" s="540"/>
      <c r="I567" s="196"/>
      <c r="J567" s="196"/>
      <c r="K567" s="196"/>
      <c r="L567" s="196"/>
      <c r="M567" s="196"/>
      <c r="N567" s="196"/>
      <c r="O567" s="196"/>
      <c r="P567" s="173"/>
      <c r="U567" s="465"/>
      <c r="V567" s="465"/>
      <c r="W567" s="465"/>
    </row>
    <row r="568" spans="1:48" s="163" customFormat="1" ht="15" thickBot="1" x14ac:dyDescent="0.35">
      <c r="A568" s="329" t="s">
        <v>142</v>
      </c>
      <c r="B568" s="330"/>
      <c r="C568" s="331"/>
      <c r="D568" s="321" t="s">
        <v>90</v>
      </c>
      <c r="E568" s="321"/>
      <c r="F568" s="268"/>
      <c r="G568" s="269"/>
      <c r="H568" s="540"/>
      <c r="I568" s="196"/>
      <c r="J568" s="196"/>
      <c r="K568" s="196"/>
      <c r="L568" s="196"/>
      <c r="M568" s="196"/>
      <c r="N568" s="196"/>
      <c r="O568" s="196"/>
      <c r="P568" s="173"/>
      <c r="U568" s="465"/>
      <c r="V568" s="465"/>
      <c r="W568" s="465"/>
    </row>
    <row r="569" spans="1:48" s="163" customFormat="1" x14ac:dyDescent="0.3">
      <c r="A569" s="322"/>
      <c r="B569" s="323"/>
      <c r="C569" s="324"/>
      <c r="D569" s="325"/>
      <c r="E569" s="325"/>
      <c r="F569" s="268"/>
      <c r="G569" s="269"/>
      <c r="H569" s="540"/>
      <c r="I569" s="196"/>
      <c r="J569" s="196"/>
      <c r="K569" s="196"/>
      <c r="L569" s="196"/>
      <c r="M569" s="196"/>
      <c r="N569" s="196"/>
      <c r="O569" s="196"/>
      <c r="P569" s="173"/>
      <c r="U569" s="465"/>
      <c r="V569" s="465"/>
      <c r="W569" s="465"/>
    </row>
    <row r="570" spans="1:48" s="163" customFormat="1" ht="46.8" x14ac:dyDescent="0.3">
      <c r="A570" s="500" t="s">
        <v>206</v>
      </c>
      <c r="B570" s="500" t="s">
        <v>35</v>
      </c>
      <c r="C570" s="500" t="s">
        <v>258</v>
      </c>
      <c r="D570" s="500" t="s">
        <v>207</v>
      </c>
      <c r="E570" s="500" t="s">
        <v>241</v>
      </c>
      <c r="F570" s="500" t="s">
        <v>242</v>
      </c>
      <c r="G570" s="500" t="s">
        <v>243</v>
      </c>
      <c r="H570" s="550" t="s">
        <v>244</v>
      </c>
      <c r="I570" s="501" t="s">
        <v>5</v>
      </c>
      <c r="J570" s="501" t="s">
        <v>145</v>
      </c>
      <c r="K570" s="501" t="s">
        <v>190</v>
      </c>
      <c r="L570" s="501" t="s">
        <v>147</v>
      </c>
      <c r="M570" s="501" t="s">
        <v>129</v>
      </c>
      <c r="N570" s="501" t="s">
        <v>245</v>
      </c>
      <c r="O570" s="501" t="s">
        <v>208</v>
      </c>
      <c r="P570" s="501" t="s">
        <v>249</v>
      </c>
      <c r="Q570" s="501" t="s">
        <v>148</v>
      </c>
      <c r="R570" s="501" t="s">
        <v>192</v>
      </c>
      <c r="S570" s="501"/>
      <c r="T570" s="173"/>
      <c r="X570" s="465"/>
    </row>
    <row r="571" spans="1:48" s="312" customFormat="1" ht="144" x14ac:dyDescent="0.3">
      <c r="A571" s="527">
        <v>1</v>
      </c>
      <c r="B571" s="527">
        <v>52</v>
      </c>
      <c r="C571" s="527">
        <v>344</v>
      </c>
      <c r="D571" s="527" t="s">
        <v>90</v>
      </c>
      <c r="E571" s="527" t="s">
        <v>401</v>
      </c>
      <c r="F571" s="527" t="s">
        <v>401</v>
      </c>
      <c r="G571" s="527" t="s">
        <v>402</v>
      </c>
      <c r="H571" s="551" t="str">
        <f>+F571</f>
        <v>WILLIAM CARDONA OLMOS</v>
      </c>
      <c r="I571" s="527" t="s">
        <v>423</v>
      </c>
      <c r="J571" s="528">
        <v>40640</v>
      </c>
      <c r="K571" s="528">
        <v>41129</v>
      </c>
      <c r="L571" s="527">
        <v>16.3</v>
      </c>
      <c r="M571" s="527">
        <v>12</v>
      </c>
      <c r="N571" s="527" t="s">
        <v>424</v>
      </c>
      <c r="O571" s="527" t="s">
        <v>98</v>
      </c>
      <c r="P571" s="527" t="s">
        <v>425</v>
      </c>
      <c r="Q571" s="527">
        <v>11.93</v>
      </c>
      <c r="R571" s="527"/>
      <c r="S571" s="527" t="s">
        <v>403</v>
      </c>
      <c r="U571" s="471"/>
      <c r="V571" s="471">
        <v>41226</v>
      </c>
      <c r="W571" s="471">
        <v>41297</v>
      </c>
      <c r="X571" s="391">
        <f>+(W571-V571)/30</f>
        <v>2.3666666666666667</v>
      </c>
      <c r="Y571" s="340"/>
      <c r="Z571" s="340"/>
      <c r="AU571" s="312">
        <v>41856</v>
      </c>
      <c r="AV571" s="312">
        <f>+AU571-AT571</f>
        <v>41856</v>
      </c>
    </row>
    <row r="572" spans="1:48" s="312" customFormat="1" ht="110.25" customHeight="1" x14ac:dyDescent="0.3">
      <c r="A572" s="527">
        <v>2</v>
      </c>
      <c r="B572" s="527" t="s">
        <v>404</v>
      </c>
      <c r="C572" s="527">
        <v>381</v>
      </c>
      <c r="D572" s="527" t="s">
        <v>90</v>
      </c>
      <c r="E572" s="527" t="s">
        <v>401</v>
      </c>
      <c r="F572" s="527" t="s">
        <v>401</v>
      </c>
      <c r="G572" s="527" t="s">
        <v>402</v>
      </c>
      <c r="H572" s="551"/>
      <c r="I572" s="527" t="s">
        <v>405</v>
      </c>
      <c r="J572" s="528">
        <v>42141</v>
      </c>
      <c r="K572" s="528">
        <v>42622</v>
      </c>
      <c r="L572" s="527">
        <v>16.03</v>
      </c>
      <c r="M572" s="527">
        <v>6</v>
      </c>
      <c r="N572" s="527" t="s">
        <v>90</v>
      </c>
      <c r="O572" s="527" t="s">
        <v>98</v>
      </c>
      <c r="P572" s="527">
        <v>382</v>
      </c>
      <c r="Q572" s="527">
        <v>5.43</v>
      </c>
      <c r="R572" s="527"/>
      <c r="S572" s="527" t="s">
        <v>406</v>
      </c>
      <c r="U572" s="471"/>
      <c r="V572" s="471">
        <v>41316</v>
      </c>
      <c r="W572" s="471">
        <v>41341</v>
      </c>
      <c r="X572" s="391">
        <f t="shared" ref="X572:X635" si="10">+(W572-V572)/30</f>
        <v>0.83333333333333337</v>
      </c>
      <c r="Y572" s="340"/>
      <c r="Z572" s="340"/>
      <c r="AV572" s="312">
        <f t="shared" ref="AV572" si="11">+AU572-AT572</f>
        <v>0</v>
      </c>
    </row>
    <row r="573" spans="1:48" s="312" customFormat="1" ht="72" x14ac:dyDescent="0.3">
      <c r="A573" s="527">
        <v>3</v>
      </c>
      <c r="B573" s="527">
        <v>114</v>
      </c>
      <c r="C573" s="527">
        <v>400</v>
      </c>
      <c r="D573" s="527" t="s">
        <v>90</v>
      </c>
      <c r="E573" s="527" t="s">
        <v>407</v>
      </c>
      <c r="F573" s="527" t="s">
        <v>401</v>
      </c>
      <c r="G573" s="527" t="s">
        <v>402</v>
      </c>
      <c r="H573" s="551" t="s">
        <v>407</v>
      </c>
      <c r="I573" s="527" t="s">
        <v>408</v>
      </c>
      <c r="J573" s="528">
        <v>40045</v>
      </c>
      <c r="K573" s="528">
        <v>40517</v>
      </c>
      <c r="L573" s="527">
        <v>15.67</v>
      </c>
      <c r="M573" s="527">
        <v>14</v>
      </c>
      <c r="N573" s="527" t="s">
        <v>90</v>
      </c>
      <c r="O573" s="527" t="s">
        <v>98</v>
      </c>
      <c r="P573" s="527" t="s">
        <v>90</v>
      </c>
      <c r="Q573" s="527">
        <v>14</v>
      </c>
      <c r="R573" s="527"/>
      <c r="S573" s="527"/>
      <c r="U573" s="471"/>
      <c r="V573" s="471"/>
      <c r="W573" s="471"/>
      <c r="X573" s="391">
        <f>SUM(X571:X572)</f>
        <v>3.2</v>
      </c>
      <c r="Y573" s="340"/>
      <c r="Z573" s="340"/>
    </row>
    <row r="574" spans="1:48" s="312" customFormat="1" ht="72" x14ac:dyDescent="0.3">
      <c r="A574" s="527">
        <v>4</v>
      </c>
      <c r="B574" s="527" t="s">
        <v>427</v>
      </c>
      <c r="C574" s="527">
        <v>423</v>
      </c>
      <c r="D574" s="527" t="s">
        <v>90</v>
      </c>
      <c r="E574" s="527" t="s">
        <v>401</v>
      </c>
      <c r="F574" s="527" t="s">
        <v>401</v>
      </c>
      <c r="G574" s="527" t="s">
        <v>409</v>
      </c>
      <c r="H574" s="551" t="s">
        <v>401</v>
      </c>
      <c r="I574" s="527" t="s">
        <v>410</v>
      </c>
      <c r="J574" s="528">
        <v>41226</v>
      </c>
      <c r="K574" s="528">
        <v>41341</v>
      </c>
      <c r="L574" s="527">
        <v>3.83</v>
      </c>
      <c r="M574" s="527">
        <v>3</v>
      </c>
      <c r="N574" s="527" t="s">
        <v>90</v>
      </c>
      <c r="O574" s="527" t="s">
        <v>98</v>
      </c>
      <c r="P574" s="527">
        <v>424</v>
      </c>
      <c r="Q574" s="527">
        <v>3</v>
      </c>
      <c r="R574" s="527"/>
      <c r="S574" s="527"/>
      <c r="U574" s="471"/>
      <c r="V574" s="471"/>
      <c r="W574" s="471"/>
      <c r="X574" s="391"/>
      <c r="Y574" s="340"/>
      <c r="Z574" s="340"/>
    </row>
    <row r="575" spans="1:48" s="312" customFormat="1" ht="100.8" x14ac:dyDescent="0.3">
      <c r="A575" s="527">
        <v>5</v>
      </c>
      <c r="B575" s="527" t="s">
        <v>411</v>
      </c>
      <c r="C575" s="527">
        <v>437</v>
      </c>
      <c r="D575" s="527" t="s">
        <v>90</v>
      </c>
      <c r="E575" s="527" t="s">
        <v>401</v>
      </c>
      <c r="F575" s="527" t="s">
        <v>401</v>
      </c>
      <c r="G575" s="527" t="s">
        <v>412</v>
      </c>
      <c r="H575" s="551" t="s">
        <v>401</v>
      </c>
      <c r="I575" s="527" t="s">
        <v>428</v>
      </c>
      <c r="J575" s="528">
        <v>39051</v>
      </c>
      <c r="K575" s="528">
        <v>39171</v>
      </c>
      <c r="L575" s="527">
        <v>4</v>
      </c>
      <c r="M575" s="527">
        <v>1</v>
      </c>
      <c r="N575" s="527" t="s">
        <v>90</v>
      </c>
      <c r="O575" s="527" t="s">
        <v>98</v>
      </c>
      <c r="P575" s="530" t="s">
        <v>429</v>
      </c>
      <c r="Q575" s="527">
        <v>1</v>
      </c>
      <c r="R575" s="527" t="s">
        <v>413</v>
      </c>
      <c r="S575" s="527" t="s">
        <v>414</v>
      </c>
      <c r="U575" s="471"/>
      <c r="V575" s="471"/>
      <c r="W575" s="471"/>
      <c r="X575" s="391"/>
      <c r="Y575" s="340"/>
      <c r="Z575" s="340"/>
      <c r="AV575" s="312">
        <f>SUM(AV571:AV574)+COUNT(AV571:AV574)</f>
        <v>41858</v>
      </c>
    </row>
    <row r="576" spans="1:48" s="312" customFormat="1" ht="100.8" x14ac:dyDescent="0.3">
      <c r="A576" s="527">
        <v>6</v>
      </c>
      <c r="B576" s="527">
        <v>2130668</v>
      </c>
      <c r="C576" s="527">
        <v>451</v>
      </c>
      <c r="D576" s="527" t="s">
        <v>90</v>
      </c>
      <c r="E576" s="527" t="s">
        <v>401</v>
      </c>
      <c r="F576" s="527" t="s">
        <v>98</v>
      </c>
      <c r="G576" s="527" t="s">
        <v>415</v>
      </c>
      <c r="H576" s="551" t="s">
        <v>401</v>
      </c>
      <c r="I576" s="527" t="s">
        <v>416</v>
      </c>
      <c r="J576" s="528">
        <v>41348</v>
      </c>
      <c r="K576" s="528">
        <v>41721</v>
      </c>
      <c r="L576" s="527">
        <v>12.43</v>
      </c>
      <c r="M576" s="527">
        <v>12</v>
      </c>
      <c r="N576" s="527" t="s">
        <v>90</v>
      </c>
      <c r="O576" s="527" t="s">
        <v>98</v>
      </c>
      <c r="P576" s="527" t="s">
        <v>430</v>
      </c>
      <c r="Q576" s="527">
        <v>12</v>
      </c>
      <c r="R576" s="527"/>
      <c r="S576" s="527"/>
      <c r="U576" s="471"/>
      <c r="V576" s="471"/>
      <c r="W576" s="471"/>
      <c r="X576" s="391"/>
      <c r="Y576" s="340"/>
      <c r="Z576" s="340"/>
      <c r="AV576" s="312">
        <f>+AV575/30</f>
        <v>1395.2666666666667</v>
      </c>
    </row>
    <row r="577" spans="1:26" s="312" customFormat="1" ht="129.6" x14ac:dyDescent="0.3">
      <c r="A577" s="527">
        <v>7</v>
      </c>
      <c r="B577" s="527">
        <v>1063</v>
      </c>
      <c r="C577" s="527">
        <v>473</v>
      </c>
      <c r="D577" s="527" t="s">
        <v>90</v>
      </c>
      <c r="E577" s="527" t="s">
        <v>401</v>
      </c>
      <c r="F577" s="527" t="s">
        <v>98</v>
      </c>
      <c r="G577" s="527" t="s">
        <v>417</v>
      </c>
      <c r="H577" s="551"/>
      <c r="I577" s="527" t="s">
        <v>418</v>
      </c>
      <c r="J577" s="528">
        <v>41794</v>
      </c>
      <c r="K577" s="528">
        <v>42079</v>
      </c>
      <c r="L577" s="527">
        <v>9.5</v>
      </c>
      <c r="M577" s="527">
        <v>7</v>
      </c>
      <c r="N577" s="527" t="s">
        <v>90</v>
      </c>
      <c r="O577" s="527" t="s">
        <v>98</v>
      </c>
      <c r="P577" s="527" t="s">
        <v>431</v>
      </c>
      <c r="Q577" s="527">
        <v>5</v>
      </c>
      <c r="R577" s="527" t="s">
        <v>419</v>
      </c>
      <c r="S577" s="527"/>
      <c r="U577" s="471"/>
      <c r="V577" s="471"/>
      <c r="W577" s="471"/>
      <c r="X577" s="391"/>
      <c r="Y577" s="340"/>
      <c r="Z577" s="340"/>
    </row>
    <row r="578" spans="1:26" s="163" customFormat="1" ht="129.6" x14ac:dyDescent="0.3">
      <c r="A578" s="527">
        <v>8</v>
      </c>
      <c r="B578" s="527">
        <v>17321360</v>
      </c>
      <c r="C578" s="527">
        <v>596</v>
      </c>
      <c r="D578" s="527" t="s">
        <v>90</v>
      </c>
      <c r="E578" s="527" t="s">
        <v>420</v>
      </c>
      <c r="F578" s="527" t="s">
        <v>98</v>
      </c>
      <c r="G578" s="527" t="s">
        <v>0</v>
      </c>
      <c r="H578" s="551" t="s">
        <v>420</v>
      </c>
      <c r="I578" s="527" t="s">
        <v>432</v>
      </c>
      <c r="J578" s="528">
        <v>43032</v>
      </c>
      <c r="K578" s="528">
        <v>43579</v>
      </c>
      <c r="L578" s="527">
        <v>18.23</v>
      </c>
      <c r="M578" s="527">
        <v>17.329999999999998</v>
      </c>
      <c r="N578" s="527" t="s">
        <v>90</v>
      </c>
      <c r="O578" s="527" t="s">
        <v>98</v>
      </c>
      <c r="P578" s="527" t="s">
        <v>433</v>
      </c>
      <c r="Q578" s="527">
        <v>17.329999999999998</v>
      </c>
      <c r="R578" s="527"/>
      <c r="S578" s="527"/>
      <c r="U578" s="464"/>
      <c r="V578" s="464"/>
      <c r="W578" s="472"/>
      <c r="X578" s="391"/>
    </row>
    <row r="579" spans="1:26" s="163" customFormat="1" x14ac:dyDescent="0.3">
      <c r="A579" s="526"/>
      <c r="B579" s="526"/>
      <c r="C579" s="526"/>
      <c r="D579" s="526"/>
      <c r="E579" s="526"/>
      <c r="F579" s="526"/>
      <c r="G579" s="526"/>
      <c r="H579" s="552"/>
      <c r="I579" s="526"/>
      <c r="J579" s="526"/>
      <c r="K579" s="526"/>
      <c r="L579" s="526"/>
      <c r="M579" s="526"/>
      <c r="N579" s="526"/>
      <c r="O579" s="526"/>
      <c r="P579" s="526"/>
      <c r="Q579" s="526"/>
      <c r="R579" s="526"/>
      <c r="S579" s="173"/>
      <c r="U579" s="464"/>
      <c r="V579" s="464"/>
      <c r="W579" s="465"/>
      <c r="X579" s="391"/>
    </row>
    <row r="580" spans="1:26" s="163" customFormat="1" ht="27.6" x14ac:dyDescent="0.3">
      <c r="A580" s="272"/>
      <c r="B580" s="272"/>
      <c r="C580" s="272"/>
      <c r="D580" s="272"/>
      <c r="E580" s="272"/>
      <c r="F580" s="272"/>
      <c r="G580" s="272"/>
      <c r="H580" s="547"/>
      <c r="I580" s="276"/>
      <c r="J580" s="276"/>
      <c r="K580" s="275"/>
      <c r="L580" s="272"/>
      <c r="M580" s="272"/>
      <c r="N580" s="272"/>
      <c r="P580" s="276" t="s">
        <v>146</v>
      </c>
      <c r="Q580" s="274">
        <f>SUM(Q571:Q579)</f>
        <v>69.69</v>
      </c>
      <c r="R580" s="272"/>
      <c r="S580" s="173"/>
      <c r="U580" s="464"/>
      <c r="V580" s="464"/>
      <c r="W580" s="465"/>
      <c r="X580" s="391"/>
    </row>
    <row r="581" spans="1:26" s="163" customFormat="1" ht="15" thickBot="1" x14ac:dyDescent="0.35">
      <c r="A581" s="272"/>
      <c r="B581" s="272"/>
      <c r="C581" s="272"/>
      <c r="D581" s="272"/>
      <c r="E581" s="272"/>
      <c r="F581" s="272"/>
      <c r="G581" s="272"/>
      <c r="H581" s="543"/>
      <c r="I581" s="272"/>
      <c r="J581" s="272"/>
      <c r="K581" s="272"/>
      <c r="L581" s="272"/>
      <c r="M581" s="272"/>
      <c r="N581" s="272"/>
      <c r="O581" s="272"/>
      <c r="P581" s="272"/>
      <c r="Q581" s="173"/>
      <c r="U581" s="465"/>
      <c r="V581" s="465"/>
      <c r="W581" s="465"/>
      <c r="X581" s="391"/>
    </row>
    <row r="582" spans="1:26" s="163" customFormat="1" ht="15" thickBot="1" x14ac:dyDescent="0.35">
      <c r="A582" s="496" t="s">
        <v>265</v>
      </c>
      <c r="B582" s="497"/>
      <c r="C582" s="497"/>
      <c r="D582" s="497"/>
      <c r="E582" s="498"/>
      <c r="F582" s="268"/>
      <c r="G582" s="269"/>
      <c r="H582" s="540"/>
      <c r="I582" s="196"/>
      <c r="J582" s="196"/>
      <c r="K582" s="196"/>
      <c r="L582" s="196"/>
      <c r="M582" s="196"/>
      <c r="N582" s="196"/>
      <c r="O582" s="196"/>
      <c r="P582" s="173"/>
      <c r="U582" s="465"/>
      <c r="V582" s="465"/>
      <c r="W582" s="465"/>
      <c r="X582" s="391"/>
    </row>
    <row r="583" spans="1:26" s="163" customFormat="1" ht="15" thickBot="1" x14ac:dyDescent="0.35">
      <c r="A583" s="496" t="s">
        <v>143</v>
      </c>
      <c r="B583" s="497"/>
      <c r="C583" s="498"/>
      <c r="D583" s="499" t="s">
        <v>126</v>
      </c>
      <c r="E583" s="499" t="s">
        <v>144</v>
      </c>
      <c r="F583" s="268"/>
      <c r="G583" s="269"/>
      <c r="H583" s="540"/>
      <c r="I583" s="196"/>
      <c r="J583" s="196"/>
      <c r="K583" s="196"/>
      <c r="L583" s="196"/>
      <c r="M583" s="196"/>
      <c r="N583" s="196"/>
      <c r="O583" s="196"/>
      <c r="P583" s="173"/>
      <c r="U583" s="465"/>
      <c r="V583" s="465"/>
      <c r="W583" s="465"/>
      <c r="X583" s="391"/>
    </row>
    <row r="584" spans="1:26" s="163" customFormat="1" x14ac:dyDescent="0.3">
      <c r="A584" s="332" t="s">
        <v>187</v>
      </c>
      <c r="B584" s="333"/>
      <c r="C584" s="334"/>
      <c r="D584" s="335"/>
      <c r="E584" s="335"/>
      <c r="F584" s="268"/>
      <c r="G584" s="269"/>
      <c r="H584" s="540"/>
      <c r="I584" s="196"/>
      <c r="J584" s="196"/>
      <c r="K584" s="196"/>
      <c r="L584" s="196"/>
      <c r="M584" s="196"/>
      <c r="N584" s="196"/>
      <c r="O584" s="196"/>
      <c r="P584" s="173"/>
      <c r="U584" s="465"/>
      <c r="V584" s="465"/>
      <c r="W584" s="465"/>
      <c r="X584" s="391"/>
    </row>
    <row r="585" spans="1:26" s="163" customFormat="1" x14ac:dyDescent="0.3">
      <c r="A585" s="326" t="s">
        <v>149</v>
      </c>
      <c r="B585" s="327"/>
      <c r="C585" s="328"/>
      <c r="D585" s="320"/>
      <c r="E585" s="320"/>
      <c r="F585" s="268"/>
      <c r="G585" s="269"/>
      <c r="H585" s="540"/>
      <c r="I585" s="196"/>
      <c r="J585" s="196"/>
      <c r="K585" s="196"/>
      <c r="L585" s="196"/>
      <c r="M585" s="196"/>
      <c r="N585" s="196"/>
      <c r="O585" s="196"/>
      <c r="P585" s="173"/>
      <c r="U585" s="465"/>
      <c r="V585" s="465"/>
      <c r="W585" s="465"/>
      <c r="X585" s="391"/>
    </row>
    <row r="586" spans="1:26" s="163" customFormat="1" x14ac:dyDescent="0.3">
      <c r="A586" s="343" t="s">
        <v>150</v>
      </c>
      <c r="B586" s="344"/>
      <c r="C586" s="345"/>
      <c r="D586" s="346"/>
      <c r="E586" s="346"/>
      <c r="F586" s="268"/>
      <c r="G586" s="269"/>
      <c r="H586" s="540"/>
      <c r="I586" s="196"/>
      <c r="J586" s="196"/>
      <c r="K586" s="196"/>
      <c r="L586" s="196"/>
      <c r="M586" s="196"/>
      <c r="N586" s="196"/>
      <c r="O586" s="196"/>
      <c r="P586" s="173"/>
      <c r="U586" s="465"/>
      <c r="V586" s="465"/>
      <c r="W586" s="465"/>
      <c r="X586" s="391"/>
    </row>
    <row r="587" spans="1:26" s="163" customFormat="1" x14ac:dyDescent="0.3">
      <c r="A587" s="343" t="s">
        <v>142</v>
      </c>
      <c r="B587" s="344"/>
      <c r="C587" s="345"/>
      <c r="D587" s="346"/>
      <c r="E587" s="346"/>
      <c r="F587" s="268"/>
      <c r="G587" s="269"/>
      <c r="H587" s="540"/>
      <c r="I587" s="196"/>
      <c r="J587" s="196"/>
      <c r="K587" s="196"/>
      <c r="L587" s="196"/>
      <c r="M587" s="196"/>
      <c r="N587" s="196"/>
      <c r="O587" s="196"/>
      <c r="P587" s="173"/>
      <c r="U587" s="465"/>
      <c r="V587" s="465"/>
      <c r="W587" s="465"/>
      <c r="X587" s="391"/>
    </row>
    <row r="588" spans="1:26" s="163" customFormat="1" x14ac:dyDescent="0.3">
      <c r="A588" s="343"/>
      <c r="B588" s="344"/>
      <c r="C588" s="345"/>
      <c r="D588" s="346"/>
      <c r="E588" s="346"/>
      <c r="F588" s="268"/>
      <c r="G588" s="269"/>
      <c r="H588" s="540"/>
      <c r="I588" s="196"/>
      <c r="J588" s="196"/>
      <c r="K588" s="196"/>
      <c r="L588" s="196"/>
      <c r="M588" s="196"/>
      <c r="N588" s="196"/>
      <c r="O588" s="196"/>
      <c r="P588" s="173"/>
      <c r="U588" s="465"/>
      <c r="V588" s="465"/>
      <c r="W588" s="465"/>
      <c r="X588" s="391"/>
    </row>
    <row r="589" spans="1:26" s="163" customFormat="1" ht="15" thickBot="1" x14ac:dyDescent="0.35">
      <c r="A589" s="329"/>
      <c r="B589" s="330"/>
      <c r="C589" s="331"/>
      <c r="D589" s="321"/>
      <c r="E589" s="321"/>
      <c r="F589" s="268"/>
      <c r="G589" s="269"/>
      <c r="H589" s="540"/>
      <c r="I589" s="196"/>
      <c r="J589" s="196"/>
      <c r="K589" s="196"/>
      <c r="L589" s="196"/>
      <c r="M589" s="196"/>
      <c r="N589" s="196"/>
      <c r="O589" s="196"/>
      <c r="P589" s="173"/>
      <c r="U589" s="465"/>
      <c r="V589" s="465"/>
      <c r="W589" s="465"/>
      <c r="X589" s="391"/>
    </row>
    <row r="590" spans="1:26" ht="15" thickBot="1" x14ac:dyDescent="0.35">
      <c r="X590" s="391"/>
    </row>
    <row r="591" spans="1:26" ht="15" thickBot="1" x14ac:dyDescent="0.35">
      <c r="A591" s="496" t="s">
        <v>266</v>
      </c>
      <c r="B591" s="497"/>
      <c r="C591" s="497"/>
      <c r="D591" s="497"/>
      <c r="E591" s="498"/>
      <c r="F591" s="502"/>
      <c r="X591" s="391"/>
    </row>
    <row r="592" spans="1:26" ht="15" thickBot="1" x14ac:dyDescent="0.35">
      <c r="A592" s="496" t="s">
        <v>143</v>
      </c>
      <c r="B592" s="497"/>
      <c r="C592" s="498"/>
      <c r="D592" s="499" t="s">
        <v>126</v>
      </c>
      <c r="E592" s="499" t="s">
        <v>144</v>
      </c>
      <c r="X592" s="391"/>
    </row>
    <row r="593" spans="1:24" x14ac:dyDescent="0.3">
      <c r="A593" s="332" t="s">
        <v>187</v>
      </c>
      <c r="B593" s="333"/>
      <c r="C593" s="334"/>
      <c r="D593" s="335"/>
      <c r="E593" s="335"/>
      <c r="X593" s="391"/>
    </row>
    <row r="594" spans="1:24" x14ac:dyDescent="0.3">
      <c r="A594" s="326" t="s">
        <v>149</v>
      </c>
      <c r="B594" s="327"/>
      <c r="C594" s="328"/>
      <c r="D594" s="320"/>
      <c r="E594" s="320"/>
      <c r="X594" s="391"/>
    </row>
    <row r="595" spans="1:24" x14ac:dyDescent="0.3">
      <c r="A595" s="343" t="s">
        <v>151</v>
      </c>
      <c r="B595" s="344"/>
      <c r="C595" s="345"/>
      <c r="D595" s="346"/>
      <c r="E595" s="346"/>
      <c r="X595" s="391"/>
    </row>
    <row r="596" spans="1:24" ht="15" thickBot="1" x14ac:dyDescent="0.35">
      <c r="A596" s="329"/>
      <c r="B596" s="330"/>
      <c r="C596" s="331"/>
      <c r="D596" s="321"/>
      <c r="E596" s="321"/>
      <c r="X596" s="391"/>
    </row>
    <row r="597" spans="1:24" x14ac:dyDescent="0.3">
      <c r="X597" s="391"/>
    </row>
    <row r="598" spans="1:24" s="163" customFormat="1" ht="46.8" x14ac:dyDescent="0.3">
      <c r="A598" s="182" t="s">
        <v>206</v>
      </c>
      <c r="B598" s="182" t="s">
        <v>35</v>
      </c>
      <c r="C598" s="182" t="s">
        <v>189</v>
      </c>
      <c r="D598" s="182" t="s">
        <v>207</v>
      </c>
      <c r="E598" s="182" t="s">
        <v>152</v>
      </c>
      <c r="F598" s="182" t="s">
        <v>193</v>
      </c>
      <c r="G598" s="271" t="s">
        <v>97</v>
      </c>
      <c r="H598" s="541" t="s">
        <v>5</v>
      </c>
      <c r="I598" s="271" t="s">
        <v>145</v>
      </c>
      <c r="J598" s="271" t="s">
        <v>190</v>
      </c>
      <c r="K598" s="271" t="s">
        <v>209</v>
      </c>
      <c r="L598" s="271" t="s">
        <v>153</v>
      </c>
      <c r="M598" s="271" t="s">
        <v>191</v>
      </c>
      <c r="N598" s="271"/>
      <c r="O598" s="271"/>
      <c r="P598" s="271"/>
      <c r="Q598" s="271" t="s">
        <v>192</v>
      </c>
      <c r="U598" s="465"/>
      <c r="V598" s="465"/>
      <c r="W598" s="465"/>
      <c r="X598" s="391"/>
    </row>
    <row r="599" spans="1:24" s="312" customFormat="1" x14ac:dyDescent="0.3">
      <c r="A599" s="338">
        <v>1</v>
      </c>
      <c r="B599" s="338"/>
      <c r="C599" s="338"/>
      <c r="D599" s="341"/>
      <c r="E599" s="338"/>
      <c r="F599" s="338"/>
      <c r="G599" s="338"/>
      <c r="H599" s="542"/>
      <c r="I599" s="339"/>
      <c r="J599" s="339"/>
      <c r="K599" s="338"/>
      <c r="L599" s="349"/>
      <c r="O599" s="338"/>
      <c r="P599" s="338"/>
      <c r="Q599" s="338"/>
      <c r="U599" s="470"/>
      <c r="V599" s="470"/>
      <c r="W599" s="470"/>
      <c r="X599" s="391"/>
    </row>
    <row r="600" spans="1:24" s="312" customFormat="1" x14ac:dyDescent="0.3">
      <c r="A600" s="338">
        <v>2</v>
      </c>
      <c r="B600" s="338"/>
      <c r="C600" s="338"/>
      <c r="D600" s="341"/>
      <c r="E600" s="338"/>
      <c r="F600" s="338"/>
      <c r="G600" s="338"/>
      <c r="H600" s="542"/>
      <c r="I600" s="339"/>
      <c r="J600" s="339"/>
      <c r="K600" s="338"/>
      <c r="L600" s="349"/>
      <c r="M600" s="338"/>
      <c r="N600" s="338"/>
      <c r="O600" s="338"/>
      <c r="P600" s="338"/>
      <c r="Q600" s="338"/>
      <c r="U600" s="470"/>
      <c r="V600" s="470"/>
      <c r="W600" s="470"/>
      <c r="X600" s="391"/>
    </row>
    <row r="601" spans="1:24" s="312" customFormat="1" x14ac:dyDescent="0.3">
      <c r="A601" s="338">
        <v>3</v>
      </c>
      <c r="B601" s="338"/>
      <c r="C601" s="338"/>
      <c r="D601" s="341"/>
      <c r="E601" s="338"/>
      <c r="F601" s="338"/>
      <c r="G601" s="338"/>
      <c r="H601" s="542"/>
      <c r="I601" s="339"/>
      <c r="J601" s="339"/>
      <c r="K601" s="338"/>
      <c r="L601" s="342"/>
      <c r="M601" s="338"/>
      <c r="N601" s="338"/>
      <c r="O601" s="338"/>
      <c r="P601" s="338"/>
      <c r="Q601" s="338"/>
      <c r="U601" s="470"/>
      <c r="V601" s="470"/>
      <c r="W601" s="470"/>
      <c r="X601" s="391"/>
    </row>
    <row r="602" spans="1:24" s="312" customFormat="1" x14ac:dyDescent="0.3">
      <c r="A602" s="338">
        <v>4</v>
      </c>
      <c r="B602" s="338"/>
      <c r="C602" s="338"/>
      <c r="D602" s="341"/>
      <c r="E602" s="338"/>
      <c r="F602" s="338"/>
      <c r="G602" s="338"/>
      <c r="H602" s="542"/>
      <c r="I602" s="339"/>
      <c r="J602" s="339"/>
      <c r="K602" s="338"/>
      <c r="L602" s="342"/>
      <c r="M602" s="338"/>
      <c r="N602" s="338"/>
      <c r="O602" s="338"/>
      <c r="P602" s="338"/>
      <c r="Q602" s="338"/>
      <c r="U602" s="470"/>
      <c r="V602" s="470"/>
      <c r="W602" s="470"/>
      <c r="X602" s="391"/>
    </row>
    <row r="603" spans="1:24" s="312" customFormat="1" x14ac:dyDescent="0.3">
      <c r="A603" s="338">
        <v>5</v>
      </c>
      <c r="B603" s="338"/>
      <c r="C603" s="338"/>
      <c r="D603" s="341"/>
      <c r="E603" s="338"/>
      <c r="F603" s="338"/>
      <c r="G603" s="338"/>
      <c r="H603" s="542"/>
      <c r="I603" s="339"/>
      <c r="J603" s="339"/>
      <c r="K603" s="338"/>
      <c r="L603" s="342"/>
      <c r="M603" s="338"/>
      <c r="N603" s="338"/>
      <c r="O603" s="338"/>
      <c r="P603" s="338"/>
      <c r="Q603" s="338"/>
      <c r="U603" s="470"/>
      <c r="V603" s="470"/>
      <c r="W603" s="470"/>
      <c r="X603" s="391"/>
    </row>
    <row r="604" spans="1:24" s="312" customFormat="1" x14ac:dyDescent="0.3">
      <c r="A604" s="338">
        <v>6</v>
      </c>
      <c r="B604" s="338"/>
      <c r="C604" s="338"/>
      <c r="D604" s="341"/>
      <c r="E604" s="338"/>
      <c r="F604" s="338"/>
      <c r="G604" s="338"/>
      <c r="H604" s="542"/>
      <c r="I604" s="339"/>
      <c r="J604" s="339"/>
      <c r="K604" s="338"/>
      <c r="L604" s="342"/>
      <c r="M604" s="338"/>
      <c r="N604" s="338"/>
      <c r="O604" s="338"/>
      <c r="P604" s="338"/>
      <c r="Q604" s="347"/>
      <c r="U604" s="470"/>
      <c r="V604" s="470"/>
      <c r="W604" s="470"/>
      <c r="X604" s="391"/>
    </row>
    <row r="605" spans="1:24" s="312" customFormat="1" x14ac:dyDescent="0.3">
      <c r="A605" s="338">
        <v>7</v>
      </c>
      <c r="B605" s="338"/>
      <c r="C605" s="338"/>
      <c r="D605" s="341"/>
      <c r="E605" s="338"/>
      <c r="F605" s="338"/>
      <c r="G605" s="338"/>
      <c r="H605" s="542"/>
      <c r="I605" s="339"/>
      <c r="J605" s="339"/>
      <c r="K605" s="338"/>
      <c r="L605" s="342"/>
      <c r="M605" s="338"/>
      <c r="N605" s="338"/>
      <c r="O605" s="338"/>
      <c r="P605" s="338"/>
      <c r="Q605" s="338"/>
      <c r="U605" s="470"/>
      <c r="V605" s="470"/>
      <c r="W605" s="470"/>
      <c r="X605" s="391"/>
    </row>
    <row r="606" spans="1:24" s="312" customFormat="1" x14ac:dyDescent="0.3">
      <c r="A606" s="338">
        <v>8</v>
      </c>
      <c r="B606" s="338"/>
      <c r="C606" s="338"/>
      <c r="D606" s="341"/>
      <c r="E606" s="338"/>
      <c r="F606" s="338"/>
      <c r="G606" s="338"/>
      <c r="H606" s="542"/>
      <c r="I606" s="339"/>
      <c r="J606" s="339"/>
      <c r="K606" s="338"/>
      <c r="L606" s="342"/>
      <c r="M606" s="338"/>
      <c r="N606" s="338"/>
      <c r="O606" s="338"/>
      <c r="P606" s="338"/>
      <c r="Q606" s="338"/>
      <c r="U606" s="470"/>
      <c r="V606" s="470"/>
      <c r="W606" s="470"/>
      <c r="X606" s="391"/>
    </row>
    <row r="607" spans="1:24" s="312" customFormat="1" x14ac:dyDescent="0.3">
      <c r="A607" s="338">
        <v>9</v>
      </c>
      <c r="B607" s="338"/>
      <c r="C607" s="338"/>
      <c r="D607" s="341"/>
      <c r="E607" s="338"/>
      <c r="F607" s="338"/>
      <c r="G607" s="338"/>
      <c r="H607" s="542"/>
      <c r="I607" s="339"/>
      <c r="J607" s="339"/>
      <c r="K607" s="338"/>
      <c r="L607" s="342"/>
      <c r="M607" s="338"/>
      <c r="N607" s="338"/>
      <c r="O607" s="338"/>
      <c r="P607" s="338"/>
      <c r="Q607" s="338"/>
      <c r="U607" s="470"/>
      <c r="V607" s="470"/>
      <c r="W607" s="470"/>
      <c r="X607" s="391"/>
    </row>
    <row r="608" spans="1:24" s="312" customFormat="1" x14ac:dyDescent="0.3">
      <c r="A608" s="338">
        <v>10</v>
      </c>
      <c r="B608" s="338"/>
      <c r="C608" s="338"/>
      <c r="D608" s="341"/>
      <c r="E608" s="338"/>
      <c r="F608" s="338"/>
      <c r="G608" s="338"/>
      <c r="H608" s="542"/>
      <c r="I608" s="339"/>
      <c r="J608" s="339"/>
      <c r="K608" s="338"/>
      <c r="L608" s="342"/>
      <c r="M608" s="338"/>
      <c r="N608" s="338"/>
      <c r="O608" s="338"/>
      <c r="P608" s="338"/>
      <c r="Q608" s="338"/>
      <c r="U608" s="470"/>
      <c r="V608" s="470"/>
      <c r="W608" s="470"/>
      <c r="X608" s="391"/>
    </row>
    <row r="609" spans="1:24" s="312" customFormat="1" x14ac:dyDescent="0.3">
      <c r="A609" s="338">
        <v>11</v>
      </c>
      <c r="B609" s="338"/>
      <c r="C609" s="338"/>
      <c r="D609" s="341"/>
      <c r="E609" s="338"/>
      <c r="F609" s="338"/>
      <c r="G609" s="338"/>
      <c r="H609" s="542"/>
      <c r="I609" s="339"/>
      <c r="J609" s="339"/>
      <c r="K609" s="338"/>
      <c r="L609" s="342"/>
      <c r="M609" s="338"/>
      <c r="N609" s="338"/>
      <c r="O609" s="338"/>
      <c r="P609" s="338"/>
      <c r="Q609" s="338"/>
      <c r="U609" s="470"/>
      <c r="V609" s="470"/>
      <c r="W609" s="470"/>
      <c r="X609" s="391"/>
    </row>
    <row r="610" spans="1:24" s="312" customFormat="1" x14ac:dyDescent="0.3">
      <c r="A610" s="338">
        <v>12</v>
      </c>
      <c r="B610" s="338"/>
      <c r="C610" s="338"/>
      <c r="D610" s="341"/>
      <c r="E610" s="338"/>
      <c r="F610" s="338"/>
      <c r="G610" s="338"/>
      <c r="H610" s="542"/>
      <c r="I610" s="339"/>
      <c r="J610" s="339"/>
      <c r="K610" s="338"/>
      <c r="L610" s="342"/>
      <c r="M610" s="338"/>
      <c r="N610" s="338"/>
      <c r="O610" s="338"/>
      <c r="P610" s="338"/>
      <c r="Q610" s="338"/>
      <c r="U610" s="470"/>
      <c r="V610" s="470"/>
      <c r="W610" s="470"/>
      <c r="X610" s="391"/>
    </row>
    <row r="611" spans="1:24" s="312" customFormat="1" x14ac:dyDescent="0.3">
      <c r="A611" s="338">
        <v>13</v>
      </c>
      <c r="B611" s="338"/>
      <c r="C611" s="338"/>
      <c r="D611" s="341"/>
      <c r="E611" s="338"/>
      <c r="F611" s="338"/>
      <c r="G611" s="338"/>
      <c r="H611" s="542"/>
      <c r="I611" s="339"/>
      <c r="J611" s="339"/>
      <c r="K611" s="338"/>
      <c r="L611" s="342"/>
      <c r="M611" s="338"/>
      <c r="N611" s="338"/>
      <c r="O611" s="338"/>
      <c r="P611" s="338"/>
      <c r="Q611" s="338"/>
      <c r="U611" s="470"/>
      <c r="V611" s="470"/>
      <c r="W611" s="470"/>
      <c r="X611" s="391">
        <f t="shared" si="10"/>
        <v>0</v>
      </c>
    </row>
    <row r="612" spans="1:24" s="312" customFormat="1" x14ac:dyDescent="0.3">
      <c r="A612" s="338">
        <v>14</v>
      </c>
      <c r="B612" s="338"/>
      <c r="C612" s="338"/>
      <c r="D612" s="341"/>
      <c r="E612" s="338"/>
      <c r="F612" s="338"/>
      <c r="G612" s="338"/>
      <c r="H612" s="542"/>
      <c r="I612" s="339"/>
      <c r="J612" s="339"/>
      <c r="K612" s="338"/>
      <c r="L612" s="342"/>
      <c r="M612" s="338"/>
      <c r="N612" s="338"/>
      <c r="O612" s="338"/>
      <c r="P612" s="338"/>
      <c r="Q612" s="347"/>
      <c r="U612" s="470"/>
      <c r="V612" s="470"/>
      <c r="W612" s="470"/>
      <c r="X612" s="391">
        <f t="shared" si="10"/>
        <v>0</v>
      </c>
    </row>
    <row r="613" spans="1:24" s="312" customFormat="1" x14ac:dyDescent="0.3">
      <c r="A613" s="338"/>
      <c r="B613" s="338"/>
      <c r="C613" s="338"/>
      <c r="D613" s="341"/>
      <c r="E613" s="338"/>
      <c r="F613" s="338"/>
      <c r="G613" s="338"/>
      <c r="H613" s="542"/>
      <c r="I613" s="339"/>
      <c r="J613" s="339"/>
      <c r="K613" s="338"/>
      <c r="L613" s="342"/>
      <c r="M613" s="338"/>
      <c r="N613" s="338"/>
      <c r="O613" s="338"/>
      <c r="P613" s="338"/>
      <c r="Q613" s="347"/>
      <c r="U613" s="470"/>
      <c r="V613" s="470"/>
      <c r="W613" s="470"/>
      <c r="X613" s="391">
        <f t="shared" si="10"/>
        <v>0</v>
      </c>
    </row>
    <row r="614" spans="1:24" s="312" customFormat="1" x14ac:dyDescent="0.3">
      <c r="A614" s="338"/>
      <c r="B614" s="338"/>
      <c r="C614" s="338"/>
      <c r="D614" s="338"/>
      <c r="E614" s="338"/>
      <c r="F614" s="338"/>
      <c r="G614" s="338"/>
      <c r="H614" s="544"/>
      <c r="I614" s="348"/>
      <c r="J614" s="348" t="s">
        <v>210</v>
      </c>
      <c r="K614" s="338">
        <f>SUM(K599:K607)</f>
        <v>0</v>
      </c>
      <c r="L614" s="338"/>
      <c r="M614" s="338"/>
      <c r="N614" s="338"/>
      <c r="O614" s="338"/>
      <c r="P614" s="338"/>
      <c r="U614" s="470"/>
      <c r="V614" s="470"/>
      <c r="W614" s="470"/>
      <c r="X614" s="391">
        <f t="shared" si="10"/>
        <v>0</v>
      </c>
    </row>
    <row r="615" spans="1:24" ht="15" thickBot="1" x14ac:dyDescent="0.35">
      <c r="X615" s="391">
        <f t="shared" si="10"/>
        <v>0</v>
      </c>
    </row>
    <row r="616" spans="1:24" ht="15" thickBot="1" x14ac:dyDescent="0.35">
      <c r="A616" s="496" t="s">
        <v>303</v>
      </c>
      <c r="B616" s="497"/>
      <c r="C616" s="497"/>
      <c r="D616" s="497"/>
      <c r="E616" s="498"/>
      <c r="X616" s="391">
        <f t="shared" si="10"/>
        <v>0</v>
      </c>
    </row>
    <row r="617" spans="1:24" ht="15" thickBot="1" x14ac:dyDescent="0.35">
      <c r="A617" s="496" t="s">
        <v>143</v>
      </c>
      <c r="B617" s="497"/>
      <c r="C617" s="498"/>
      <c r="D617" s="499" t="s">
        <v>126</v>
      </c>
      <c r="E617" s="499" t="s">
        <v>144</v>
      </c>
      <c r="X617" s="391">
        <f t="shared" si="10"/>
        <v>0</v>
      </c>
    </row>
    <row r="618" spans="1:24" x14ac:dyDescent="0.3">
      <c r="A618" s="332" t="s">
        <v>187</v>
      </c>
      <c r="B618" s="333"/>
      <c r="C618" s="334"/>
      <c r="D618" s="335"/>
      <c r="E618" s="335"/>
      <c r="X618" s="391">
        <f t="shared" si="10"/>
        <v>0</v>
      </c>
    </row>
    <row r="619" spans="1:24" x14ac:dyDescent="0.3">
      <c r="A619" s="326" t="s">
        <v>149</v>
      </c>
      <c r="B619" s="327"/>
      <c r="C619" s="328"/>
      <c r="D619" s="320"/>
      <c r="E619" s="320"/>
      <c r="X619" s="391">
        <f t="shared" si="10"/>
        <v>0</v>
      </c>
    </row>
    <row r="620" spans="1:24" x14ac:dyDescent="0.3">
      <c r="A620" s="343" t="s">
        <v>151</v>
      </c>
      <c r="B620" s="344"/>
      <c r="C620" s="345"/>
      <c r="D620" s="346"/>
      <c r="E620" s="346"/>
      <c r="X620" s="391">
        <f t="shared" si="10"/>
        <v>0</v>
      </c>
    </row>
    <row r="621" spans="1:24" ht="15" thickBot="1" x14ac:dyDescent="0.35">
      <c r="A621" s="329" t="s">
        <v>142</v>
      </c>
      <c r="B621" s="330"/>
      <c r="C621" s="331"/>
      <c r="D621" s="321"/>
      <c r="E621" s="321"/>
      <c r="X621" s="391">
        <f t="shared" si="10"/>
        <v>0</v>
      </c>
    </row>
    <row r="622" spans="1:24" x14ac:dyDescent="0.3">
      <c r="X622" s="391">
        <f t="shared" si="10"/>
        <v>0</v>
      </c>
    </row>
    <row r="623" spans="1:24" s="163" customFormat="1" ht="46.8" x14ac:dyDescent="0.3">
      <c r="A623" s="500" t="s">
        <v>206</v>
      </c>
      <c r="B623" s="500" t="s">
        <v>35</v>
      </c>
      <c r="C623" s="500" t="s">
        <v>189</v>
      </c>
      <c r="D623" s="500" t="s">
        <v>207</v>
      </c>
      <c r="E623" s="500" t="s">
        <v>194</v>
      </c>
      <c r="F623" s="500" t="s">
        <v>154</v>
      </c>
      <c r="G623" s="501" t="s">
        <v>97</v>
      </c>
      <c r="H623" s="550" t="s">
        <v>5</v>
      </c>
      <c r="I623" s="501" t="s">
        <v>145</v>
      </c>
      <c r="J623" s="501" t="s">
        <v>190</v>
      </c>
      <c r="K623" s="501" t="s">
        <v>211</v>
      </c>
      <c r="L623" s="501" t="s">
        <v>153</v>
      </c>
      <c r="M623" s="501" t="s">
        <v>191</v>
      </c>
      <c r="N623" s="501"/>
      <c r="O623" s="501"/>
      <c r="P623" s="501"/>
      <c r="Q623" s="501" t="s">
        <v>192</v>
      </c>
      <c r="U623" s="465"/>
      <c r="V623" s="465"/>
      <c r="W623" s="465"/>
      <c r="X623" s="391">
        <f t="shared" si="10"/>
        <v>0</v>
      </c>
    </row>
    <row r="624" spans="1:24" s="312" customFormat="1" x14ac:dyDescent="0.3">
      <c r="A624" s="338">
        <v>1</v>
      </c>
      <c r="B624" s="338"/>
      <c r="C624" s="338"/>
      <c r="D624" s="349"/>
      <c r="E624" s="338"/>
      <c r="F624" s="338"/>
      <c r="G624" s="338"/>
      <c r="H624" s="542"/>
      <c r="I624" s="339"/>
      <c r="J624" s="339"/>
      <c r="K624" s="338"/>
      <c r="L624" s="349"/>
      <c r="O624" s="338"/>
      <c r="P624" s="338"/>
      <c r="Q624" s="338"/>
      <c r="U624" s="470"/>
      <c r="V624" s="470"/>
      <c r="W624" s="470"/>
      <c r="X624" s="391">
        <f t="shared" si="10"/>
        <v>0</v>
      </c>
    </row>
    <row r="625" spans="1:24" s="312" customFormat="1" x14ac:dyDescent="0.3">
      <c r="A625" s="338"/>
      <c r="B625" s="338"/>
      <c r="C625" s="338"/>
      <c r="D625" s="349"/>
      <c r="E625" s="338"/>
      <c r="F625" s="338"/>
      <c r="G625" s="338"/>
      <c r="H625" s="542"/>
      <c r="I625" s="339"/>
      <c r="J625" s="339"/>
      <c r="K625" s="338"/>
      <c r="L625" s="349"/>
      <c r="M625" s="338"/>
      <c r="N625" s="338"/>
      <c r="O625" s="338"/>
      <c r="P625" s="338"/>
      <c r="Q625" s="338"/>
      <c r="U625" s="470"/>
      <c r="V625" s="470"/>
      <c r="W625" s="470"/>
      <c r="X625" s="391">
        <f t="shared" si="10"/>
        <v>0</v>
      </c>
    </row>
    <row r="626" spans="1:24" s="312" customFormat="1" x14ac:dyDescent="0.3">
      <c r="A626" s="338"/>
      <c r="B626" s="338"/>
      <c r="C626" s="338"/>
      <c r="D626" s="349"/>
      <c r="E626" s="338"/>
      <c r="F626" s="338"/>
      <c r="G626" s="338"/>
      <c r="H626" s="542"/>
      <c r="I626" s="339"/>
      <c r="J626" s="339"/>
      <c r="K626" s="338"/>
      <c r="L626" s="349"/>
      <c r="M626" s="338"/>
      <c r="N626" s="338"/>
      <c r="O626" s="338"/>
      <c r="P626" s="338"/>
      <c r="Q626" s="347"/>
      <c r="U626" s="470"/>
      <c r="V626" s="470"/>
      <c r="W626" s="470"/>
      <c r="X626" s="391">
        <f t="shared" si="10"/>
        <v>0</v>
      </c>
    </row>
    <row r="627" spans="1:24" s="312" customFormat="1" x14ac:dyDescent="0.3">
      <c r="A627" s="338"/>
      <c r="B627" s="338"/>
      <c r="C627" s="338"/>
      <c r="D627" s="338"/>
      <c r="E627" s="338"/>
      <c r="F627" s="338"/>
      <c r="G627" s="338"/>
      <c r="H627" s="544"/>
      <c r="I627" s="348"/>
      <c r="J627" s="348" t="s">
        <v>210</v>
      </c>
      <c r="K627" s="338">
        <f>SUM(K624:K626)</f>
        <v>0</v>
      </c>
      <c r="L627" s="338"/>
      <c r="M627" s="338"/>
      <c r="N627" s="338"/>
      <c r="O627" s="338"/>
      <c r="P627" s="338"/>
      <c r="U627" s="470"/>
      <c r="V627" s="470"/>
      <c r="W627" s="470"/>
      <c r="X627" s="391">
        <f t="shared" si="10"/>
        <v>0</v>
      </c>
    </row>
    <row r="628" spans="1:24" ht="15" thickBot="1" x14ac:dyDescent="0.35">
      <c r="X628" s="391">
        <f t="shared" si="10"/>
        <v>0</v>
      </c>
    </row>
    <row r="629" spans="1:24" ht="15" thickBot="1" x14ac:dyDescent="0.35">
      <c r="A629" s="496" t="s">
        <v>306</v>
      </c>
      <c r="B629" s="497"/>
      <c r="C629" s="497"/>
      <c r="D629" s="497"/>
      <c r="E629" s="498"/>
      <c r="X629" s="391">
        <f t="shared" si="10"/>
        <v>0</v>
      </c>
    </row>
    <row r="630" spans="1:24" ht="15" thickBot="1" x14ac:dyDescent="0.35">
      <c r="A630" s="496" t="s">
        <v>143</v>
      </c>
      <c r="B630" s="497"/>
      <c r="C630" s="498"/>
      <c r="D630" s="499" t="s">
        <v>126</v>
      </c>
      <c r="E630" s="499" t="s">
        <v>144</v>
      </c>
      <c r="X630" s="391">
        <f t="shared" si="10"/>
        <v>0</v>
      </c>
    </row>
    <row r="631" spans="1:24" x14ac:dyDescent="0.3">
      <c r="A631" s="332" t="s">
        <v>187</v>
      </c>
      <c r="B631" s="333"/>
      <c r="C631" s="334"/>
      <c r="D631" s="335"/>
      <c r="E631" s="335"/>
      <c r="X631" s="391">
        <f t="shared" si="10"/>
        <v>0</v>
      </c>
    </row>
    <row r="632" spans="1:24" x14ac:dyDescent="0.3">
      <c r="A632" s="326" t="s">
        <v>149</v>
      </c>
      <c r="B632" s="327"/>
      <c r="C632" s="328"/>
      <c r="D632" s="320"/>
      <c r="E632" s="320"/>
      <c r="X632" s="391">
        <f t="shared" si="10"/>
        <v>0</v>
      </c>
    </row>
    <row r="633" spans="1:24" x14ac:dyDescent="0.3">
      <c r="A633" s="343" t="s">
        <v>151</v>
      </c>
      <c r="B633" s="344"/>
      <c r="C633" s="345"/>
      <c r="D633" s="346"/>
      <c r="E633" s="346"/>
      <c r="X633" s="391">
        <f t="shared" si="10"/>
        <v>0</v>
      </c>
    </row>
    <row r="634" spans="1:24" x14ac:dyDescent="0.3">
      <c r="A634" s="343" t="s">
        <v>142</v>
      </c>
      <c r="B634" s="344"/>
      <c r="C634" s="345"/>
      <c r="D634" s="346"/>
      <c r="E634" s="346"/>
      <c r="X634" s="391">
        <f t="shared" si="10"/>
        <v>0</v>
      </c>
    </row>
    <row r="635" spans="1:24" ht="15" thickBot="1" x14ac:dyDescent="0.35">
      <c r="A635" s="329" t="s">
        <v>125</v>
      </c>
      <c r="B635" s="330"/>
      <c r="C635" s="331"/>
      <c r="D635" s="321"/>
      <c r="E635" s="321"/>
      <c r="X635" s="391">
        <f t="shared" si="10"/>
        <v>0</v>
      </c>
    </row>
    <row r="636" spans="1:24" x14ac:dyDescent="0.3">
      <c r="X636" s="391">
        <f t="shared" ref="X636:X640" si="12">+(W636-V636)/30</f>
        <v>0</v>
      </c>
    </row>
    <row r="637" spans="1:24" s="163" customFormat="1" ht="46.8" x14ac:dyDescent="0.3">
      <c r="A637" s="500" t="s">
        <v>206</v>
      </c>
      <c r="B637" s="500" t="s">
        <v>35</v>
      </c>
      <c r="C637" s="500" t="s">
        <v>189</v>
      </c>
      <c r="D637" s="500" t="s">
        <v>207</v>
      </c>
      <c r="E637" s="500" t="s">
        <v>96</v>
      </c>
      <c r="F637" s="500" t="s">
        <v>16</v>
      </c>
      <c r="G637" s="501" t="s">
        <v>97</v>
      </c>
      <c r="H637" s="550" t="s">
        <v>5</v>
      </c>
      <c r="I637" s="501" t="s">
        <v>145</v>
      </c>
      <c r="J637" s="501" t="s">
        <v>190</v>
      </c>
      <c r="K637" s="501" t="s">
        <v>211</v>
      </c>
      <c r="L637" s="501" t="s">
        <v>153</v>
      </c>
      <c r="M637" s="501" t="s">
        <v>191</v>
      </c>
      <c r="N637" s="501" t="s">
        <v>212</v>
      </c>
      <c r="O637" s="501"/>
      <c r="P637" s="501"/>
      <c r="Q637" s="501" t="s">
        <v>192</v>
      </c>
      <c r="U637" s="465"/>
      <c r="V637" s="465"/>
      <c r="W637" s="465"/>
      <c r="X637" s="391">
        <f t="shared" si="12"/>
        <v>0</v>
      </c>
    </row>
    <row r="638" spans="1:24" s="312" customFormat="1" x14ac:dyDescent="0.3">
      <c r="A638" s="338">
        <v>1</v>
      </c>
      <c r="B638" s="338"/>
      <c r="C638" s="338"/>
      <c r="D638" s="341"/>
      <c r="E638" s="338"/>
      <c r="F638" s="338"/>
      <c r="G638" s="338"/>
      <c r="H638" s="542"/>
      <c r="I638" s="339"/>
      <c r="J638" s="339"/>
      <c r="K638" s="338"/>
      <c r="L638" s="342"/>
      <c r="O638" s="338"/>
      <c r="P638" s="338"/>
      <c r="Q638" s="338"/>
      <c r="U638" s="470"/>
      <c r="V638" s="470"/>
      <c r="W638" s="470"/>
      <c r="X638" s="391">
        <f t="shared" si="12"/>
        <v>0</v>
      </c>
    </row>
    <row r="639" spans="1:24" s="312" customFormat="1" x14ac:dyDescent="0.3">
      <c r="A639" s="338">
        <v>2</v>
      </c>
      <c r="B639" s="338"/>
      <c r="C639" s="338"/>
      <c r="D639" s="341"/>
      <c r="E639" s="338"/>
      <c r="F639" s="338"/>
      <c r="G639" s="338"/>
      <c r="H639" s="542"/>
      <c r="I639" s="339"/>
      <c r="J639" s="339"/>
      <c r="K639" s="338"/>
      <c r="L639" s="342"/>
      <c r="M639" s="338"/>
      <c r="N639" s="338"/>
      <c r="O639" s="338"/>
      <c r="P639" s="338"/>
      <c r="Q639" s="338"/>
      <c r="U639" s="470"/>
      <c r="V639" s="470"/>
      <c r="W639" s="470"/>
      <c r="X639" s="391">
        <f t="shared" si="12"/>
        <v>0</v>
      </c>
    </row>
    <row r="640" spans="1:24" s="312" customFormat="1" x14ac:dyDescent="0.3">
      <c r="A640" s="338">
        <v>3</v>
      </c>
      <c r="B640" s="338"/>
      <c r="C640" s="338"/>
      <c r="D640" s="341"/>
      <c r="E640" s="338"/>
      <c r="F640" s="338"/>
      <c r="G640" s="338"/>
      <c r="H640" s="542"/>
      <c r="I640" s="339"/>
      <c r="J640" s="339"/>
      <c r="K640" s="338"/>
      <c r="L640" s="342"/>
      <c r="M640" s="338"/>
      <c r="N640" s="338"/>
      <c r="O640" s="338"/>
      <c r="P640" s="338"/>
      <c r="Q640" s="338"/>
      <c r="U640" s="470"/>
      <c r="V640" s="470"/>
      <c r="W640" s="470"/>
      <c r="X640" s="391">
        <f t="shared" si="12"/>
        <v>0</v>
      </c>
    </row>
    <row r="641" spans="1:24" s="312" customFormat="1" x14ac:dyDescent="0.3">
      <c r="A641" s="338">
        <v>4</v>
      </c>
      <c r="B641" s="338"/>
      <c r="C641" s="338"/>
      <c r="D641" s="341"/>
      <c r="E641" s="338"/>
      <c r="F641" s="338"/>
      <c r="G641" s="338"/>
      <c r="H641" s="542"/>
      <c r="I641" s="339"/>
      <c r="J641" s="339"/>
      <c r="K641" s="338"/>
      <c r="L641" s="342"/>
      <c r="M641" s="338"/>
      <c r="N641" s="338"/>
      <c r="O641" s="338"/>
      <c r="P641" s="338"/>
      <c r="Q641" s="347"/>
      <c r="U641" s="470"/>
      <c r="V641" s="470"/>
      <c r="W641" s="470"/>
      <c r="X641" s="524">
        <f>SUM(X571:X577)</f>
        <v>6.4</v>
      </c>
    </row>
    <row r="642" spans="1:24" s="312" customFormat="1" x14ac:dyDescent="0.3">
      <c r="A642" s="338">
        <v>5</v>
      </c>
      <c r="B642" s="338"/>
      <c r="C642" s="338"/>
      <c r="D642" s="341"/>
      <c r="E642" s="338"/>
      <c r="F642" s="338"/>
      <c r="G642" s="338"/>
      <c r="H642" s="542"/>
      <c r="I642" s="339"/>
      <c r="J642" s="339"/>
      <c r="K642" s="338"/>
      <c r="L642" s="342"/>
      <c r="M642" s="338"/>
      <c r="N642" s="338"/>
      <c r="O642" s="338"/>
      <c r="P642" s="338"/>
      <c r="Q642" s="347"/>
      <c r="U642" s="470"/>
      <c r="V642" s="470"/>
      <c r="W642" s="470"/>
    </row>
    <row r="643" spans="1:24" s="312" customFormat="1" x14ac:dyDescent="0.3">
      <c r="A643" s="338"/>
      <c r="B643" s="338"/>
      <c r="C643" s="338"/>
      <c r="D643" s="338"/>
      <c r="E643" s="338"/>
      <c r="F643" s="338"/>
      <c r="G643" s="338"/>
      <c r="H643" s="544"/>
      <c r="I643" s="348"/>
      <c r="J643" s="348" t="s">
        <v>210</v>
      </c>
      <c r="K643" s="338">
        <f>SUM(K638:K642)</f>
        <v>0</v>
      </c>
      <c r="L643" s="338"/>
      <c r="M643" s="338"/>
      <c r="N643" s="338"/>
      <c r="O643" s="338"/>
      <c r="P643" s="338"/>
      <c r="U643" s="470"/>
      <c r="V643" s="470"/>
      <c r="W643" s="470"/>
    </row>
    <row r="644" spans="1:24" ht="15" thickBot="1" x14ac:dyDescent="0.35"/>
    <row r="645" spans="1:24" ht="15" thickBot="1" x14ac:dyDescent="0.35">
      <c r="A645" s="496" t="s">
        <v>304</v>
      </c>
      <c r="B645" s="497"/>
      <c r="C645" s="497"/>
      <c r="D645" s="497"/>
      <c r="E645" s="498"/>
    </row>
    <row r="646" spans="1:24" ht="15" thickBot="1" x14ac:dyDescent="0.35">
      <c r="A646" s="496" t="s">
        <v>143</v>
      </c>
      <c r="B646" s="497"/>
      <c r="C646" s="498"/>
      <c r="D646" s="499" t="s">
        <v>126</v>
      </c>
      <c r="E646" s="499" t="s">
        <v>144</v>
      </c>
    </row>
    <row r="647" spans="1:24" x14ac:dyDescent="0.3">
      <c r="A647" s="332" t="s">
        <v>187</v>
      </c>
      <c r="B647" s="333"/>
      <c r="C647" s="334"/>
      <c r="D647" s="335"/>
      <c r="E647" s="335"/>
    </row>
    <row r="648" spans="1:24" x14ac:dyDescent="0.3">
      <c r="A648" s="326" t="s">
        <v>155</v>
      </c>
      <c r="B648" s="327"/>
      <c r="C648" s="328"/>
      <c r="D648" s="320"/>
      <c r="E648" s="320"/>
    </row>
    <row r="649" spans="1:24" x14ac:dyDescent="0.3">
      <c r="A649" s="343" t="s">
        <v>125</v>
      </c>
      <c r="B649" s="344"/>
      <c r="C649" s="345"/>
      <c r="D649" s="346"/>
      <c r="E649" s="346"/>
    </row>
    <row r="650" spans="1:24" x14ac:dyDescent="0.3">
      <c r="A650" s="343" t="s">
        <v>195</v>
      </c>
      <c r="B650" s="344"/>
      <c r="C650" s="345"/>
      <c r="D650" s="346"/>
      <c r="E650" s="346"/>
    </row>
    <row r="651" spans="1:24" ht="15" thickBot="1" x14ac:dyDescent="0.35">
      <c r="A651" s="329"/>
      <c r="B651" s="330"/>
      <c r="C651" s="331"/>
      <c r="D651" s="321"/>
      <c r="E651" s="321"/>
    </row>
    <row r="652" spans="1:24" ht="15" thickBot="1" x14ac:dyDescent="0.35"/>
    <row r="653" spans="1:24" ht="15" thickBot="1" x14ac:dyDescent="0.35">
      <c r="A653" s="496" t="s">
        <v>305</v>
      </c>
      <c r="B653" s="497"/>
      <c r="C653" s="497"/>
      <c r="D653" s="497"/>
      <c r="E653" s="498"/>
    </row>
    <row r="654" spans="1:24" ht="15" thickBot="1" x14ac:dyDescent="0.35">
      <c r="A654" s="496" t="s">
        <v>143</v>
      </c>
      <c r="B654" s="497"/>
      <c r="C654" s="498"/>
      <c r="D654" s="499" t="s">
        <v>126</v>
      </c>
      <c r="E654" s="499" t="s">
        <v>144</v>
      </c>
    </row>
    <row r="655" spans="1:24" x14ac:dyDescent="0.3">
      <c r="A655" s="332" t="s">
        <v>187</v>
      </c>
      <c r="B655" s="333"/>
      <c r="C655" s="334"/>
      <c r="D655" s="335"/>
      <c r="E655" s="335"/>
    </row>
    <row r="656" spans="1:24" x14ac:dyDescent="0.3">
      <c r="A656" s="326" t="s">
        <v>149</v>
      </c>
      <c r="B656" s="327"/>
      <c r="C656" s="328"/>
      <c r="D656" s="320"/>
      <c r="E656" s="320"/>
    </row>
    <row r="657" spans="1:6" x14ac:dyDescent="0.3">
      <c r="A657" s="343" t="s">
        <v>156</v>
      </c>
      <c r="B657" s="344"/>
      <c r="C657" s="345"/>
      <c r="D657" s="346"/>
      <c r="E657" s="346"/>
    </row>
    <row r="658" spans="1:6" x14ac:dyDescent="0.3">
      <c r="A658" s="343" t="s">
        <v>142</v>
      </c>
      <c r="B658" s="344"/>
      <c r="C658" s="345"/>
      <c r="D658" s="346"/>
      <c r="E658" s="346"/>
    </row>
    <row r="659" spans="1:6" ht="15" thickBot="1" x14ac:dyDescent="0.35">
      <c r="A659" s="329" t="s">
        <v>125</v>
      </c>
      <c r="B659" s="330"/>
      <c r="C659" s="331"/>
      <c r="D659" s="321"/>
      <c r="E659" s="321"/>
    </row>
    <row r="660" spans="1:6" ht="15" thickBot="1" x14ac:dyDescent="0.35"/>
    <row r="661" spans="1:6" ht="15" thickBot="1" x14ac:dyDescent="0.35">
      <c r="A661" s="496" t="s">
        <v>157</v>
      </c>
      <c r="B661" s="497"/>
      <c r="C661" s="497"/>
      <c r="D661" s="497"/>
      <c r="E661" s="498"/>
    </row>
    <row r="662" spans="1:6" ht="15" thickBot="1" x14ac:dyDescent="0.35">
      <c r="A662" s="496" t="s">
        <v>143</v>
      </c>
      <c r="B662" s="497"/>
      <c r="C662" s="498"/>
      <c r="D662" s="499" t="s">
        <v>126</v>
      </c>
      <c r="E662" s="499" t="s">
        <v>144</v>
      </c>
      <c r="F662" s="499" t="s">
        <v>36</v>
      </c>
    </row>
    <row r="663" spans="1:6" x14ac:dyDescent="0.3">
      <c r="A663" s="332" t="s">
        <v>158</v>
      </c>
      <c r="B663" s="333"/>
      <c r="C663" s="334"/>
      <c r="D663" s="335"/>
      <c r="E663" s="335"/>
      <c r="F663" s="366"/>
    </row>
    <row r="664" spans="1:6" x14ac:dyDescent="0.3">
      <c r="A664" s="332" t="s">
        <v>159</v>
      </c>
      <c r="B664" s="327"/>
      <c r="C664" s="328"/>
      <c r="D664" s="320"/>
      <c r="E664" s="320"/>
      <c r="F664" s="367"/>
    </row>
    <row r="665" spans="1:6" x14ac:dyDescent="0.3">
      <c r="A665" s="343" t="s">
        <v>196</v>
      </c>
      <c r="B665" s="344"/>
      <c r="C665" s="345"/>
      <c r="D665" s="346"/>
      <c r="E665" s="346"/>
      <c r="F665" s="368"/>
    </row>
    <row r="666" spans="1:6" x14ac:dyDescent="0.3">
      <c r="A666" s="343"/>
      <c r="B666" s="344"/>
      <c r="C666" s="345"/>
      <c r="D666" s="346"/>
      <c r="E666" s="346"/>
      <c r="F666" s="368"/>
    </row>
    <row r="667" spans="1:6" ht="15" thickBot="1" x14ac:dyDescent="0.35">
      <c r="A667" s="343"/>
      <c r="B667" s="344"/>
      <c r="C667" s="345"/>
      <c r="D667" s="346"/>
      <c r="E667" s="346"/>
      <c r="F667" s="368"/>
    </row>
    <row r="668" spans="1:6" ht="15" thickBot="1" x14ac:dyDescent="0.35">
      <c r="A668" s="336" t="s">
        <v>197</v>
      </c>
      <c r="B668" s="197"/>
      <c r="C668" s="197"/>
      <c r="D668" s="364"/>
      <c r="E668" s="365"/>
      <c r="F668" s="369">
        <f>SUM(F665:F667)</f>
        <v>0</v>
      </c>
    </row>
    <row r="669" spans="1:6" ht="15" thickBot="1" x14ac:dyDescent="0.35">
      <c r="A669" s="336" t="s">
        <v>198</v>
      </c>
      <c r="B669" s="197"/>
      <c r="C669" s="197"/>
      <c r="D669" s="364"/>
      <c r="E669" s="365"/>
      <c r="F669" s="369">
        <f>0.2*'PRECIO CORREGIDO'!D441</f>
        <v>0</v>
      </c>
    </row>
    <row r="670" spans="1:6" x14ac:dyDescent="0.3">
      <c r="A670" s="361" t="s">
        <v>199</v>
      </c>
      <c r="B670" s="196"/>
      <c r="C670" s="362"/>
      <c r="D670" s="363"/>
      <c r="E670" s="363"/>
      <c r="F670" s="370"/>
    </row>
    <row r="671" spans="1:6" ht="15" thickBot="1" x14ac:dyDescent="0.35">
      <c r="A671" s="329"/>
      <c r="B671" s="330"/>
      <c r="C671" s="331"/>
      <c r="D671" s="321"/>
      <c r="E671" s="321"/>
      <c r="F671" s="321"/>
    </row>
    <row r="672" spans="1:6" ht="15" thickBot="1" x14ac:dyDescent="0.35"/>
    <row r="673" spans="1:23" ht="15" thickBot="1" x14ac:dyDescent="0.35">
      <c r="A673" s="496" t="s">
        <v>160</v>
      </c>
      <c r="B673" s="497"/>
      <c r="C673" s="497"/>
      <c r="D673" s="497"/>
      <c r="E673" s="498"/>
    </row>
    <row r="674" spans="1:23" ht="15" thickBot="1" x14ac:dyDescent="0.35">
      <c r="A674" s="496" t="s">
        <v>143</v>
      </c>
      <c r="B674" s="497"/>
      <c r="C674" s="498"/>
      <c r="D674" s="499" t="s">
        <v>126</v>
      </c>
      <c r="E674" s="499" t="s">
        <v>144</v>
      </c>
    </row>
    <row r="675" spans="1:23" x14ac:dyDescent="0.3">
      <c r="A675" s="332" t="s">
        <v>207</v>
      </c>
      <c r="B675" s="333"/>
      <c r="C675" s="334"/>
      <c r="D675" s="335"/>
      <c r="E675" s="335"/>
    </row>
    <row r="676" spans="1:23" ht="15" thickBot="1" x14ac:dyDescent="0.35">
      <c r="A676" s="270"/>
      <c r="B676" s="196"/>
      <c r="C676" s="196"/>
      <c r="D676" s="325"/>
      <c r="E676" s="325"/>
      <c r="F676" s="371"/>
    </row>
    <row r="677" spans="1:23" ht="15" thickBot="1" x14ac:dyDescent="0.35">
      <c r="A677" s="496" t="s">
        <v>161</v>
      </c>
      <c r="B677" s="497"/>
      <c r="C677" s="497"/>
      <c r="D677" s="497"/>
      <c r="E677" s="498"/>
    </row>
    <row r="678" spans="1:23" ht="15" thickBot="1" x14ac:dyDescent="0.35">
      <c r="A678" s="496" t="s">
        <v>143</v>
      </c>
      <c r="B678" s="497"/>
      <c r="C678" s="498"/>
      <c r="D678" s="499" t="s">
        <v>126</v>
      </c>
      <c r="E678" s="499" t="s">
        <v>144</v>
      </c>
      <c r="F678" s="499" t="s">
        <v>162</v>
      </c>
      <c r="G678" s="499" t="s">
        <v>164</v>
      </c>
    </row>
    <row r="679" spans="1:23" x14ac:dyDescent="0.3">
      <c r="A679" s="317" t="s">
        <v>213</v>
      </c>
      <c r="B679" s="318"/>
      <c r="C679" s="318"/>
      <c r="D679" s="373"/>
      <c r="E679" s="373"/>
      <c r="F679" s="374"/>
      <c r="G679" s="375"/>
    </row>
    <row r="680" spans="1:23" ht="15" thickBot="1" x14ac:dyDescent="0.35">
      <c r="A680" s="379" t="s">
        <v>163</v>
      </c>
      <c r="B680" s="195"/>
      <c r="C680" s="195"/>
      <c r="D680" s="380"/>
      <c r="E680" s="380"/>
      <c r="F680" s="381"/>
      <c r="G680" s="382"/>
    </row>
    <row r="681" spans="1:23" x14ac:dyDescent="0.3">
      <c r="A681" s="317" t="s">
        <v>200</v>
      </c>
      <c r="B681" s="318"/>
      <c r="C681" s="318"/>
      <c r="D681" s="373"/>
      <c r="E681" s="373"/>
      <c r="F681" s="383"/>
      <c r="G681" s="384"/>
    </row>
    <row r="682" spans="1:23" x14ac:dyDescent="0.3">
      <c r="A682" s="319" t="s">
        <v>213</v>
      </c>
      <c r="B682" s="184"/>
      <c r="C682" s="184"/>
      <c r="D682" s="376"/>
      <c r="E682" s="376"/>
      <c r="F682" s="274"/>
      <c r="G682" s="377"/>
    </row>
    <row r="683" spans="1:23" x14ac:dyDescent="0.3">
      <c r="A683" s="319" t="s">
        <v>163</v>
      </c>
      <c r="B683" s="184"/>
      <c r="C683" s="184"/>
      <c r="D683" s="376"/>
      <c r="E683" s="376"/>
      <c r="F683" s="274"/>
      <c r="G683" s="377"/>
    </row>
    <row r="684" spans="1:23" x14ac:dyDescent="0.3">
      <c r="A684" s="319" t="s">
        <v>201</v>
      </c>
      <c r="B684" s="184"/>
      <c r="C684" s="184"/>
      <c r="D684" s="376"/>
      <c r="E684" s="376"/>
      <c r="F684" s="274"/>
      <c r="G684" s="377"/>
    </row>
    <row r="685" spans="1:23" x14ac:dyDescent="0.3">
      <c r="A685" s="503" t="s">
        <v>202</v>
      </c>
      <c r="B685" s="504"/>
      <c r="C685" s="504"/>
      <c r="D685" s="505"/>
      <c r="E685" s="506"/>
      <c r="F685" s="507"/>
      <c r="G685" s="370"/>
    </row>
    <row r="686" spans="1:23" ht="15" thickBot="1" x14ac:dyDescent="0.35">
      <c r="A686" s="270"/>
      <c r="B686" s="196"/>
      <c r="C686" s="196"/>
      <c r="D686" s="404"/>
      <c r="E686" s="325"/>
      <c r="F686" s="405"/>
      <c r="G686" s="406"/>
      <c r="H686" s="548"/>
      <c r="I686" s="172"/>
      <c r="J686" s="172"/>
      <c r="K686" s="172"/>
      <c r="L686" s="172"/>
      <c r="M686" s="172"/>
      <c r="N686" s="172"/>
      <c r="O686" s="172"/>
    </row>
    <row r="687" spans="1:23" ht="26.4" thickBot="1" x14ac:dyDescent="0.55000000000000004">
      <c r="A687" s="587" t="s">
        <v>434</v>
      </c>
      <c r="B687" s="588"/>
      <c r="C687" s="588"/>
      <c r="D687" s="588"/>
      <c r="E687" s="588"/>
      <c r="F687" s="588"/>
      <c r="G687" s="588"/>
      <c r="H687" s="589"/>
      <c r="I687" s="588"/>
      <c r="J687" s="588"/>
      <c r="K687" s="588"/>
      <c r="L687" s="588"/>
      <c r="M687" s="588"/>
      <c r="N687" s="588"/>
      <c r="O687" s="588"/>
      <c r="P687" s="590"/>
    </row>
    <row r="688" spans="1:23" s="163" customFormat="1" ht="15" thickBot="1" x14ac:dyDescent="0.35">
      <c r="A688" s="412" t="str">
        <f>+Experiencia!C20</f>
        <v>CONSORCIO GHR</v>
      </c>
      <c r="B688" s="402"/>
      <c r="C688" s="402"/>
      <c r="D688" s="402"/>
      <c r="E688" s="402"/>
      <c r="F688" s="402"/>
      <c r="G688" s="402"/>
      <c r="H688" s="546"/>
      <c r="I688" s="402"/>
      <c r="J688" s="402"/>
      <c r="K688" s="402"/>
      <c r="L688" s="402"/>
      <c r="M688" s="402"/>
      <c r="N688" s="402"/>
      <c r="O688" s="403"/>
      <c r="P688" s="170"/>
      <c r="U688" s="465"/>
      <c r="V688" s="465"/>
      <c r="W688" s="465"/>
    </row>
    <row r="689" spans="1:30" s="169" customFormat="1" ht="35.4" x14ac:dyDescent="0.3">
      <c r="A689" s="180" t="s">
        <v>2</v>
      </c>
      <c r="B689" s="182" t="s">
        <v>189</v>
      </c>
      <c r="C689" s="181" t="s">
        <v>35</v>
      </c>
      <c r="D689" s="182" t="s">
        <v>96</v>
      </c>
      <c r="E689" s="182" t="s">
        <v>165</v>
      </c>
      <c r="F689" s="182" t="s">
        <v>97</v>
      </c>
      <c r="G689" s="182" t="s">
        <v>5</v>
      </c>
      <c r="H689" s="536" t="s">
        <v>99</v>
      </c>
      <c r="I689" s="182" t="s">
        <v>203</v>
      </c>
      <c r="J689" s="182" t="s">
        <v>141</v>
      </c>
      <c r="K689" s="182" t="s">
        <v>224</v>
      </c>
      <c r="L689" s="182" t="s">
        <v>204</v>
      </c>
      <c r="M689" s="182" t="s">
        <v>140</v>
      </c>
      <c r="N689" s="182" t="s">
        <v>214</v>
      </c>
      <c r="O689" s="182" t="s">
        <v>100</v>
      </c>
      <c r="P689" s="182" t="s">
        <v>94</v>
      </c>
      <c r="Q689" s="171"/>
      <c r="U689" s="465"/>
      <c r="V689" s="465"/>
      <c r="W689" s="465"/>
    </row>
    <row r="690" spans="1:30" s="312" customFormat="1" ht="48.6" customHeight="1" x14ac:dyDescent="0.3">
      <c r="A690" s="305">
        <v>1</v>
      </c>
      <c r="B690" s="305"/>
      <c r="C690" s="305"/>
      <c r="D690" s="305"/>
      <c r="E690" s="305"/>
      <c r="F690" s="305"/>
      <c r="G690" s="305"/>
      <c r="H690" s="537"/>
      <c r="I690" s="313"/>
      <c r="J690" s="306"/>
      <c r="K690" s="307"/>
      <c r="L690" s="308"/>
      <c r="M690" s="308"/>
      <c r="N690" s="309">
        <f>+M690*L690*K690</f>
        <v>0</v>
      </c>
      <c r="O690" s="309">
        <f>+M690*L690*J690</f>
        <v>0</v>
      </c>
      <c r="P690" s="310"/>
      <c r="Q690" s="311"/>
      <c r="U690" s="470"/>
      <c r="V690" s="470"/>
      <c r="W690" s="470"/>
    </row>
    <row r="691" spans="1:30" s="312" customFormat="1" ht="46.2" customHeight="1" x14ac:dyDescent="0.3">
      <c r="A691" s="305">
        <v>2</v>
      </c>
      <c r="B691" s="305"/>
      <c r="C691" s="305"/>
      <c r="D691" s="305"/>
      <c r="E691" s="305"/>
      <c r="F691" s="305"/>
      <c r="G691" s="305"/>
      <c r="H691" s="537"/>
      <c r="I691" s="313"/>
      <c r="J691" s="306"/>
      <c r="K691" s="307"/>
      <c r="L691" s="308"/>
      <c r="M691" s="308"/>
      <c r="N691" s="309">
        <f>+M691*L691*K691</f>
        <v>0</v>
      </c>
      <c r="O691" s="309">
        <f>+M691*L691*J691</f>
        <v>0</v>
      </c>
      <c r="P691" s="310"/>
      <c r="Q691" s="311"/>
      <c r="U691" s="470"/>
      <c r="V691" s="470"/>
      <c r="W691" s="470"/>
    </row>
    <row r="692" spans="1:30" s="163" customFormat="1" ht="38.4" customHeight="1" x14ac:dyDescent="0.3">
      <c r="A692" s="183">
        <v>3</v>
      </c>
      <c r="B692" s="183"/>
      <c r="C692" s="183"/>
      <c r="D692" s="183"/>
      <c r="E692" s="183"/>
      <c r="F692" s="305"/>
      <c r="G692" s="186"/>
      <c r="H692" s="538"/>
      <c r="I692" s="304"/>
      <c r="J692" s="306"/>
      <c r="K692" s="305"/>
      <c r="L692" s="308"/>
      <c r="M692" s="308"/>
      <c r="N692" s="309">
        <f>+M692*L692*K692</f>
        <v>0</v>
      </c>
      <c r="O692" s="309">
        <f>+M692*L692*J692</f>
        <v>0</v>
      </c>
      <c r="P692" s="360"/>
      <c r="Q692" s="315"/>
      <c r="R692" s="314"/>
      <c r="U692" s="465"/>
      <c r="V692" s="465"/>
      <c r="W692" s="465"/>
    </row>
    <row r="693" spans="1:30" s="312" customFormat="1" ht="45.6" customHeight="1" x14ac:dyDescent="0.3">
      <c r="A693" s="305">
        <v>4</v>
      </c>
      <c r="B693" s="183"/>
      <c r="C693" s="183"/>
      <c r="D693" s="183"/>
      <c r="E693" s="183"/>
      <c r="F693" s="305"/>
      <c r="G693" s="186"/>
      <c r="H693" s="538"/>
      <c r="I693" s="304"/>
      <c r="J693" s="306"/>
      <c r="K693" s="305"/>
      <c r="L693" s="308"/>
      <c r="M693" s="308"/>
      <c r="N693" s="309">
        <f>+M693*L693*K693</f>
        <v>0</v>
      </c>
      <c r="O693" s="309">
        <f>+M693*L693*J693</f>
        <v>0</v>
      </c>
      <c r="P693" s="310"/>
      <c r="Q693" s="311"/>
      <c r="U693" s="470"/>
      <c r="V693" s="470"/>
      <c r="W693" s="470"/>
    </row>
    <row r="694" spans="1:30" s="163" customFormat="1" x14ac:dyDescent="0.3">
      <c r="A694" s="183">
        <v>5</v>
      </c>
      <c r="B694" s="183"/>
      <c r="C694" s="183"/>
      <c r="D694" s="183"/>
      <c r="E694" s="183"/>
      <c r="F694" s="183"/>
      <c r="G694" s="186"/>
      <c r="H694" s="538"/>
      <c r="I694" s="304"/>
      <c r="J694" s="306"/>
      <c r="K694" s="186"/>
      <c r="L694" s="188"/>
      <c r="M694" s="188"/>
      <c r="N694" s="316">
        <v>0</v>
      </c>
      <c r="O694" s="309">
        <v>0</v>
      </c>
      <c r="P694" s="310"/>
      <c r="Q694" s="173"/>
      <c r="U694" s="465"/>
      <c r="V694" s="465"/>
      <c r="W694" s="465"/>
    </row>
    <row r="695" spans="1:30" s="163" customFormat="1" x14ac:dyDescent="0.3">
      <c r="A695" s="183"/>
      <c r="B695" s="183"/>
      <c r="C695" s="183"/>
      <c r="D695" s="183"/>
      <c r="E695" s="183"/>
      <c r="F695" s="183"/>
      <c r="G695" s="186"/>
      <c r="H695" s="538"/>
      <c r="I695" s="304"/>
      <c r="J695" s="186"/>
      <c r="K695" s="186"/>
      <c r="L695" s="188"/>
      <c r="M695" s="188"/>
      <c r="N695" s="188"/>
      <c r="O695" s="188"/>
      <c r="P695" s="185"/>
      <c r="Q695" s="173"/>
      <c r="U695" s="465"/>
      <c r="V695" s="465"/>
      <c r="W695" s="465"/>
    </row>
    <row r="696" spans="1:30" s="163" customFormat="1" ht="15" thickBot="1" x14ac:dyDescent="0.35">
      <c r="A696" s="183"/>
      <c r="B696" s="183"/>
      <c r="C696" s="183"/>
      <c r="D696" s="183"/>
      <c r="E696" s="183"/>
      <c r="F696" s="183"/>
      <c r="G696" s="186"/>
      <c r="H696" s="538"/>
      <c r="I696" s="187"/>
      <c r="J696" s="186"/>
      <c r="K696" s="186"/>
      <c r="L696" s="188"/>
      <c r="M696" s="188"/>
      <c r="N696" s="188"/>
      <c r="O696" s="188"/>
      <c r="P696" s="185"/>
      <c r="Q696" s="173"/>
      <c r="U696" s="465"/>
      <c r="V696" s="465"/>
      <c r="W696" s="465"/>
    </row>
    <row r="697" spans="1:30" s="163" customFormat="1" ht="29.4" thickBot="1" x14ac:dyDescent="0.35">
      <c r="A697" s="189"/>
      <c r="B697" s="189"/>
      <c r="C697" s="189"/>
      <c r="D697" s="189"/>
      <c r="E697" s="189"/>
      <c r="F697" s="189"/>
      <c r="G697" s="476" t="s">
        <v>234</v>
      </c>
      <c r="H697" s="539"/>
      <c r="I697" s="190"/>
      <c r="J697" s="190"/>
      <c r="K697" s="190"/>
      <c r="L697" s="191"/>
      <c r="M697" s="191"/>
      <c r="N697" s="198">
        <f>SUM(N690:N696)</f>
        <v>0</v>
      </c>
      <c r="O697" s="192"/>
      <c r="P697" s="193"/>
      <c r="Q697" s="173"/>
      <c r="U697" s="480" t="s">
        <v>250</v>
      </c>
      <c r="V697" s="465" t="s">
        <v>251</v>
      </c>
      <c r="W697" s="482" t="s">
        <v>252</v>
      </c>
      <c r="X697" s="480" t="s">
        <v>250</v>
      </c>
      <c r="Y697" s="465" t="s">
        <v>251</v>
      </c>
      <c r="Z697" s="482" t="s">
        <v>252</v>
      </c>
      <c r="AB697" s="480" t="s">
        <v>250</v>
      </c>
      <c r="AC697" s="465" t="s">
        <v>251</v>
      </c>
      <c r="AD697" s="482" t="s">
        <v>252</v>
      </c>
    </row>
    <row r="698" spans="1:30" s="163" customFormat="1" ht="15.75" customHeight="1" thickBot="1" x14ac:dyDescent="0.35">
      <c r="A698" s="189"/>
      <c r="B698" s="189"/>
      <c r="C698" s="189"/>
      <c r="D698" s="189"/>
      <c r="E698" s="189"/>
      <c r="F698" s="189"/>
      <c r="G698" s="476" t="s">
        <v>235</v>
      </c>
      <c r="H698" s="539"/>
      <c r="I698" s="190"/>
      <c r="J698" s="190"/>
      <c r="K698" s="190"/>
      <c r="L698" s="190"/>
      <c r="M698" s="190"/>
      <c r="N698" s="198"/>
      <c r="O698" s="194">
        <f>SUM(O690:O697)</f>
        <v>0</v>
      </c>
      <c r="P698" s="189"/>
      <c r="Q698" s="173"/>
      <c r="U698" s="474">
        <v>40224</v>
      </c>
      <c r="V698" s="474">
        <v>40359</v>
      </c>
      <c r="W698" s="475">
        <f>+((V698-U698)+1)/30</f>
        <v>4.5333333333333332</v>
      </c>
      <c r="X698" s="474">
        <v>40926</v>
      </c>
      <c r="Y698" s="474">
        <v>41068</v>
      </c>
      <c r="Z698" s="475">
        <f>+((Y698-X698)+1)/30</f>
        <v>4.7666666666666666</v>
      </c>
      <c r="AB698" s="474">
        <v>41457</v>
      </c>
      <c r="AC698" s="474">
        <v>41506</v>
      </c>
      <c r="AD698" s="475">
        <f>+((AC698-AB698)+1)/30</f>
        <v>1.6666666666666667</v>
      </c>
    </row>
    <row r="699" spans="1:30" ht="15" thickBot="1" x14ac:dyDescent="0.35">
      <c r="U699" s="464">
        <v>40410</v>
      </c>
      <c r="V699" s="464">
        <v>40448</v>
      </c>
      <c r="W699" s="475">
        <f>+((V699-U699)+1)/30</f>
        <v>1.3</v>
      </c>
      <c r="X699" s="485">
        <v>41164</v>
      </c>
      <c r="Y699" s="485">
        <v>41230</v>
      </c>
      <c r="Z699" s="475">
        <f>+((Y699-X699)+1)/30</f>
        <v>2.2333333333333334</v>
      </c>
      <c r="AB699" s="485">
        <v>41519</v>
      </c>
      <c r="AC699" s="485">
        <v>41654</v>
      </c>
      <c r="AD699" s="475">
        <f>+((AC699-AB699)+1)/30</f>
        <v>4.5333333333333332</v>
      </c>
    </row>
    <row r="700" spans="1:30" s="312" customFormat="1" ht="24.6" thickBot="1" x14ac:dyDescent="0.35">
      <c r="A700" s="606" t="s">
        <v>15</v>
      </c>
      <c r="B700" s="607"/>
      <c r="C700" s="608" t="s">
        <v>436</v>
      </c>
      <c r="D700" s="607"/>
      <c r="E700" s="609"/>
      <c r="F700" s="610" t="s">
        <v>507</v>
      </c>
      <c r="G700" s="520"/>
      <c r="H700" s="554"/>
      <c r="I700" s="521"/>
      <c r="J700" s="521"/>
      <c r="K700" s="521"/>
      <c r="L700" s="521"/>
      <c r="M700" s="521"/>
      <c r="N700" s="521"/>
      <c r="O700" s="521"/>
      <c r="P700" s="311"/>
      <c r="U700" s="471">
        <v>40505</v>
      </c>
      <c r="V700" s="471">
        <v>40633</v>
      </c>
      <c r="W700" s="475">
        <f>+((V700-U700)+1)/30</f>
        <v>4.3</v>
      </c>
      <c r="X700" s="522">
        <v>41381</v>
      </c>
      <c r="Y700" s="522">
        <v>41425</v>
      </c>
      <c r="Z700" s="475">
        <f>+((Y700-X700)+1)/30</f>
        <v>1.5</v>
      </c>
      <c r="AB700" s="522"/>
      <c r="AC700" s="522"/>
      <c r="AD700" s="475">
        <f>+((AC700-AB700)+0)/30</f>
        <v>0</v>
      </c>
    </row>
    <row r="701" spans="1:30" s="163" customFormat="1" ht="15" thickBot="1" x14ac:dyDescent="0.35">
      <c r="A701" s="591" t="s">
        <v>143</v>
      </c>
      <c r="B701" s="592"/>
      <c r="C701" s="593"/>
      <c r="D701" s="594" t="s">
        <v>126</v>
      </c>
      <c r="E701" s="594" t="s">
        <v>144</v>
      </c>
      <c r="F701" s="268"/>
      <c r="G701" s="269"/>
      <c r="H701" s="540"/>
      <c r="I701" s="196"/>
      <c r="J701" s="196"/>
      <c r="K701" s="196"/>
      <c r="L701" s="196"/>
      <c r="M701" s="196"/>
      <c r="N701" s="196"/>
      <c r="O701" s="196"/>
      <c r="P701" s="173"/>
      <c r="U701" s="465"/>
      <c r="V701" s="483" t="s">
        <v>292</v>
      </c>
      <c r="W701" s="481">
        <f>SUM(W698:W700)</f>
        <v>10.133333333333333</v>
      </c>
      <c r="Y701" s="483" t="s">
        <v>292</v>
      </c>
      <c r="Z701" s="481">
        <f>SUM(Z698:Z700)</f>
        <v>8.5</v>
      </c>
      <c r="AC701" s="483" t="s">
        <v>292</v>
      </c>
      <c r="AD701" s="481">
        <f>SUM(AD698:AD700)</f>
        <v>6.2</v>
      </c>
    </row>
    <row r="702" spans="1:30" s="163" customFormat="1" x14ac:dyDescent="0.3">
      <c r="A702" s="332" t="s">
        <v>187</v>
      </c>
      <c r="B702" s="333"/>
      <c r="C702" s="529"/>
      <c r="D702" s="335" t="s">
        <v>90</v>
      </c>
      <c r="E702" s="335"/>
      <c r="F702" s="268"/>
      <c r="G702" s="269"/>
      <c r="H702" s="540"/>
      <c r="I702" s="196"/>
      <c r="J702" s="196"/>
      <c r="K702" s="196"/>
      <c r="L702" s="196"/>
      <c r="M702" s="196"/>
      <c r="N702" s="196"/>
      <c r="O702" s="196"/>
      <c r="P702" s="173"/>
      <c r="U702" s="465"/>
      <c r="V702" s="465"/>
      <c r="W702" s="465"/>
    </row>
    <row r="703" spans="1:30" s="163" customFormat="1" x14ac:dyDescent="0.3">
      <c r="A703" s="326" t="s">
        <v>188</v>
      </c>
      <c r="B703" s="327"/>
      <c r="C703" s="328"/>
      <c r="D703" s="320" t="s">
        <v>90</v>
      </c>
      <c r="E703" s="320"/>
      <c r="F703" s="268"/>
      <c r="G703" s="269"/>
      <c r="H703" s="540"/>
      <c r="I703" s="196"/>
      <c r="J703" s="196"/>
      <c r="K703" s="196"/>
      <c r="L703" s="196"/>
      <c r="M703" s="196"/>
      <c r="N703" s="196"/>
      <c r="O703" s="196"/>
      <c r="P703" s="173"/>
      <c r="U703" s="465"/>
      <c r="V703" s="465"/>
      <c r="W703" s="465"/>
    </row>
    <row r="704" spans="1:30" s="163" customFormat="1" ht="15" thickBot="1" x14ac:dyDescent="0.35">
      <c r="A704" s="329" t="s">
        <v>142</v>
      </c>
      <c r="B704" s="330"/>
      <c r="C704" s="331"/>
      <c r="D704" s="321" t="s">
        <v>90</v>
      </c>
      <c r="E704" s="321"/>
      <c r="F704" s="268"/>
      <c r="G704" s="269"/>
      <c r="H704" s="540"/>
      <c r="I704" s="196"/>
      <c r="J704" s="196"/>
      <c r="K704" s="196"/>
      <c r="L704" s="196"/>
      <c r="M704" s="196"/>
      <c r="N704" s="196"/>
      <c r="O704" s="196"/>
      <c r="P704" s="173"/>
      <c r="U704" s="465"/>
      <c r="V704" s="465"/>
      <c r="W704" s="465"/>
    </row>
    <row r="705" spans="1:48" s="163" customFormat="1" x14ac:dyDescent="0.3">
      <c r="A705" s="322"/>
      <c r="B705" s="323"/>
      <c r="C705" s="324"/>
      <c r="D705" s="325"/>
      <c r="E705" s="325"/>
      <c r="F705" s="268"/>
      <c r="G705" s="269"/>
      <c r="H705" s="540"/>
      <c r="I705" s="196"/>
      <c r="J705" s="196"/>
      <c r="K705" s="196"/>
      <c r="L705" s="196"/>
      <c r="M705" s="196"/>
      <c r="N705" s="196"/>
      <c r="O705" s="196"/>
      <c r="P705" s="173"/>
      <c r="U705" s="465"/>
      <c r="V705" s="465"/>
      <c r="W705" s="465"/>
    </row>
    <row r="706" spans="1:48" s="163" customFormat="1" ht="46.8" x14ac:dyDescent="0.3">
      <c r="A706" s="595" t="s">
        <v>206</v>
      </c>
      <c r="B706" s="595" t="s">
        <v>35</v>
      </c>
      <c r="C706" s="595" t="s">
        <v>258</v>
      </c>
      <c r="D706" s="595" t="s">
        <v>207</v>
      </c>
      <c r="E706" s="595" t="s">
        <v>241</v>
      </c>
      <c r="F706" s="595" t="s">
        <v>242</v>
      </c>
      <c r="G706" s="595" t="s">
        <v>243</v>
      </c>
      <c r="H706" s="596" t="s">
        <v>244</v>
      </c>
      <c r="I706" s="597" t="s">
        <v>5</v>
      </c>
      <c r="J706" s="597" t="s">
        <v>145</v>
      </c>
      <c r="K706" s="597" t="s">
        <v>190</v>
      </c>
      <c r="L706" s="597" t="s">
        <v>147</v>
      </c>
      <c r="M706" s="597" t="s">
        <v>129</v>
      </c>
      <c r="N706" s="597" t="s">
        <v>245</v>
      </c>
      <c r="O706" s="597" t="s">
        <v>208</v>
      </c>
      <c r="P706" s="597" t="s">
        <v>249</v>
      </c>
      <c r="Q706" s="597" t="s">
        <v>148</v>
      </c>
      <c r="R706" s="597" t="s">
        <v>192</v>
      </c>
      <c r="S706" s="597"/>
      <c r="T706" s="173"/>
      <c r="X706" s="465"/>
    </row>
    <row r="707" spans="1:48" s="532" customFormat="1" ht="100.8" x14ac:dyDescent="0.3">
      <c r="A707" s="527">
        <v>1</v>
      </c>
      <c r="B707" s="527" t="s">
        <v>466</v>
      </c>
      <c r="C707" s="527">
        <v>287</v>
      </c>
      <c r="D707" s="527" t="s">
        <v>115</v>
      </c>
      <c r="E707" s="527" t="s">
        <v>440</v>
      </c>
      <c r="F707" s="527" t="s">
        <v>98</v>
      </c>
      <c r="G707" s="527" t="s">
        <v>441</v>
      </c>
      <c r="H707" s="542"/>
      <c r="I707" s="527" t="s">
        <v>442</v>
      </c>
      <c r="J707" s="528">
        <v>39370</v>
      </c>
      <c r="K707" s="528">
        <v>39804</v>
      </c>
      <c r="L707" s="527">
        <v>14.47</v>
      </c>
      <c r="M707" s="527">
        <v>14.47</v>
      </c>
      <c r="N707" s="527" t="s">
        <v>98</v>
      </c>
      <c r="O707" s="527" t="s">
        <v>90</v>
      </c>
      <c r="P707" s="527" t="s">
        <v>115</v>
      </c>
      <c r="Q707" s="527">
        <v>0</v>
      </c>
      <c r="R707" s="527" t="s">
        <v>467</v>
      </c>
      <c r="S707" s="558"/>
      <c r="T707" s="531"/>
      <c r="X707" s="533"/>
    </row>
    <row r="708" spans="1:48" s="532" customFormat="1" ht="115.2" x14ac:dyDescent="0.3">
      <c r="A708" s="527">
        <v>2</v>
      </c>
      <c r="B708" s="527" t="s">
        <v>468</v>
      </c>
      <c r="C708" s="527">
        <v>294</v>
      </c>
      <c r="D708" s="527" t="s">
        <v>90</v>
      </c>
      <c r="E708" s="527" t="s">
        <v>98</v>
      </c>
      <c r="F708" s="527" t="s">
        <v>436</v>
      </c>
      <c r="G708" s="527" t="s">
        <v>443</v>
      </c>
      <c r="H708" s="542" t="s">
        <v>469</v>
      </c>
      <c r="I708" s="527" t="s">
        <v>444</v>
      </c>
      <c r="J708" s="528">
        <v>40260</v>
      </c>
      <c r="K708" s="528">
        <v>40333</v>
      </c>
      <c r="L708" s="527">
        <v>2.4300000000000002</v>
      </c>
      <c r="M708" s="527">
        <v>2.4300000000000002</v>
      </c>
      <c r="N708" s="527" t="s">
        <v>90</v>
      </c>
      <c r="O708" s="527" t="s">
        <v>98</v>
      </c>
      <c r="P708" s="527">
        <v>301</v>
      </c>
      <c r="Q708" s="527">
        <v>2.4300000000000002</v>
      </c>
      <c r="R708" s="527"/>
      <c r="S708" s="527"/>
      <c r="T708" s="531"/>
      <c r="X708" s="533"/>
    </row>
    <row r="709" spans="1:48" s="532" customFormat="1" ht="129.6" x14ac:dyDescent="0.3">
      <c r="A709" s="527">
        <v>3</v>
      </c>
      <c r="B709" s="527" t="s">
        <v>470</v>
      </c>
      <c r="C709" s="527">
        <v>303</v>
      </c>
      <c r="D709" s="527" t="s">
        <v>90</v>
      </c>
      <c r="E709" s="527" t="s">
        <v>98</v>
      </c>
      <c r="F709" s="527" t="s">
        <v>436</v>
      </c>
      <c r="G709" s="527" t="s">
        <v>445</v>
      </c>
      <c r="H709" s="542" t="s">
        <v>469</v>
      </c>
      <c r="I709" s="527" t="s">
        <v>446</v>
      </c>
      <c r="J709" s="528">
        <v>40359</v>
      </c>
      <c r="K709" s="528">
        <v>40567</v>
      </c>
      <c r="L709" s="527">
        <v>6.93</v>
      </c>
      <c r="M709" s="527">
        <v>3</v>
      </c>
      <c r="N709" s="527" t="s">
        <v>90</v>
      </c>
      <c r="O709" s="527" t="s">
        <v>98</v>
      </c>
      <c r="P709" s="527" t="s">
        <v>471</v>
      </c>
      <c r="Q709" s="527">
        <v>3</v>
      </c>
      <c r="R709" s="527"/>
      <c r="S709" s="527"/>
      <c r="T709" s="531"/>
      <c r="X709" s="533"/>
    </row>
    <row r="710" spans="1:48" s="532" customFormat="1" ht="100.8" x14ac:dyDescent="0.3">
      <c r="A710" s="527">
        <v>4</v>
      </c>
      <c r="B710" s="527">
        <v>4</v>
      </c>
      <c r="C710" s="527">
        <v>326</v>
      </c>
      <c r="D710" s="527" t="s">
        <v>90</v>
      </c>
      <c r="E710" s="527" t="s">
        <v>98</v>
      </c>
      <c r="F710" s="527" t="s">
        <v>436</v>
      </c>
      <c r="G710" s="527" t="s">
        <v>447</v>
      </c>
      <c r="H710" s="542" t="s">
        <v>472</v>
      </c>
      <c r="I710" s="527" t="s">
        <v>448</v>
      </c>
      <c r="J710" s="528">
        <v>40756</v>
      </c>
      <c r="K710" s="528">
        <v>40901</v>
      </c>
      <c r="L710" s="527">
        <v>4.83</v>
      </c>
      <c r="M710" s="527">
        <v>6</v>
      </c>
      <c r="N710" s="527" t="s">
        <v>90</v>
      </c>
      <c r="O710" s="527" t="s">
        <v>98</v>
      </c>
      <c r="P710" s="527" t="s">
        <v>473</v>
      </c>
      <c r="Q710" s="527">
        <v>4.83</v>
      </c>
      <c r="R710" s="527"/>
      <c r="S710" s="527"/>
      <c r="T710" s="531"/>
      <c r="X710" s="533"/>
    </row>
    <row r="711" spans="1:48" s="532" customFormat="1" ht="100.8" x14ac:dyDescent="0.3">
      <c r="A711" s="527">
        <v>5</v>
      </c>
      <c r="B711" s="527">
        <v>22</v>
      </c>
      <c r="C711" s="527">
        <v>345</v>
      </c>
      <c r="D711" s="527" t="s">
        <v>90</v>
      </c>
      <c r="E711" s="527" t="s">
        <v>98</v>
      </c>
      <c r="F711" s="527" t="s">
        <v>436</v>
      </c>
      <c r="G711" s="527" t="s">
        <v>449</v>
      </c>
      <c r="H711" s="542" t="s">
        <v>474</v>
      </c>
      <c r="I711" s="527" t="s">
        <v>450</v>
      </c>
      <c r="J711" s="528">
        <v>40940</v>
      </c>
      <c r="K711" s="528">
        <v>41264</v>
      </c>
      <c r="L711" s="527">
        <v>10.8</v>
      </c>
      <c r="M711" s="527">
        <v>12</v>
      </c>
      <c r="N711" s="527" t="s">
        <v>90</v>
      </c>
      <c r="O711" s="527" t="s">
        <v>98</v>
      </c>
      <c r="P711" s="527" t="s">
        <v>475</v>
      </c>
      <c r="Q711" s="527">
        <v>10.8</v>
      </c>
      <c r="R711" s="527"/>
      <c r="S711" s="527"/>
      <c r="T711" s="531"/>
      <c r="X711" s="533"/>
    </row>
    <row r="712" spans="1:48" s="532" customFormat="1" ht="100.8" x14ac:dyDescent="0.3">
      <c r="A712" s="527">
        <v>6</v>
      </c>
      <c r="B712" s="527" t="s">
        <v>451</v>
      </c>
      <c r="C712" s="527">
        <v>362</v>
      </c>
      <c r="D712" s="527" t="s">
        <v>90</v>
      </c>
      <c r="E712" s="527" t="s">
        <v>98</v>
      </c>
      <c r="F712" s="527" t="s">
        <v>436</v>
      </c>
      <c r="G712" s="527" t="s">
        <v>452</v>
      </c>
      <c r="H712" s="542" t="s">
        <v>476</v>
      </c>
      <c r="I712" s="527" t="s">
        <v>453</v>
      </c>
      <c r="J712" s="528">
        <v>41302</v>
      </c>
      <c r="K712" s="528">
        <v>41668</v>
      </c>
      <c r="L712" s="527">
        <v>12.2</v>
      </c>
      <c r="M712" s="527">
        <v>7</v>
      </c>
      <c r="N712" s="527" t="s">
        <v>115</v>
      </c>
      <c r="O712" s="527" t="s">
        <v>98</v>
      </c>
      <c r="P712" s="527">
        <v>367</v>
      </c>
      <c r="Q712" s="527">
        <v>1.53</v>
      </c>
      <c r="R712" s="527" t="s">
        <v>454</v>
      </c>
      <c r="S712" s="527"/>
      <c r="T712" s="531"/>
      <c r="X712" s="533"/>
    </row>
    <row r="713" spans="1:48" s="532" customFormat="1" ht="72" x14ac:dyDescent="0.3">
      <c r="A713" s="527">
        <v>7</v>
      </c>
      <c r="B713" s="527" t="s">
        <v>477</v>
      </c>
      <c r="C713" s="527">
        <v>375</v>
      </c>
      <c r="D713" s="527" t="s">
        <v>90</v>
      </c>
      <c r="E713" s="527" t="s">
        <v>98</v>
      </c>
      <c r="F713" s="527" t="s">
        <v>436</v>
      </c>
      <c r="G713" s="527" t="s">
        <v>455</v>
      </c>
      <c r="H713" s="543" t="s">
        <v>469</v>
      </c>
      <c r="I713" s="527" t="s">
        <v>456</v>
      </c>
      <c r="J713" s="528">
        <v>42124</v>
      </c>
      <c r="K713" s="528">
        <v>42384</v>
      </c>
      <c r="L713" s="527">
        <v>8.67</v>
      </c>
      <c r="M713" s="527">
        <v>9</v>
      </c>
      <c r="N713" s="527" t="s">
        <v>90</v>
      </c>
      <c r="O713" s="527" t="s">
        <v>98</v>
      </c>
      <c r="P713" s="527" t="s">
        <v>478</v>
      </c>
      <c r="Q713" s="527">
        <v>8.67</v>
      </c>
      <c r="R713" s="527"/>
      <c r="S713" s="527"/>
      <c r="T713" s="531"/>
      <c r="X713" s="533"/>
    </row>
    <row r="714" spans="1:48" s="532" customFormat="1" ht="100.8" x14ac:dyDescent="0.3">
      <c r="A714" s="527">
        <v>8</v>
      </c>
      <c r="B714" s="527">
        <v>151909</v>
      </c>
      <c r="C714" s="527">
        <v>402</v>
      </c>
      <c r="D714" s="527" t="s">
        <v>90</v>
      </c>
      <c r="E714" s="527" t="s">
        <v>98</v>
      </c>
      <c r="F714" s="527" t="s">
        <v>436</v>
      </c>
      <c r="G714" s="527" t="s">
        <v>457</v>
      </c>
      <c r="H714" s="543" t="s">
        <v>469</v>
      </c>
      <c r="I714" s="527" t="s">
        <v>458</v>
      </c>
      <c r="J714" s="528">
        <v>42401</v>
      </c>
      <c r="K714" s="528">
        <v>42622</v>
      </c>
      <c r="L714" s="527">
        <v>7.37</v>
      </c>
      <c r="M714" s="527">
        <v>2</v>
      </c>
      <c r="N714" s="527" t="s">
        <v>115</v>
      </c>
      <c r="O714" s="527" t="s">
        <v>98</v>
      </c>
      <c r="P714" s="527" t="s">
        <v>479</v>
      </c>
      <c r="Q714" s="527">
        <v>0.73299999999999998</v>
      </c>
      <c r="R714" s="527" t="s">
        <v>459</v>
      </c>
      <c r="S714" s="527"/>
      <c r="T714" s="531"/>
      <c r="X714" s="533"/>
    </row>
    <row r="715" spans="1:48" s="532" customFormat="1" ht="100.8" x14ac:dyDescent="0.3">
      <c r="A715" s="527">
        <v>9</v>
      </c>
      <c r="B715" s="527" t="s">
        <v>460</v>
      </c>
      <c r="C715" s="527">
        <v>423</v>
      </c>
      <c r="D715" s="527" t="s">
        <v>90</v>
      </c>
      <c r="E715" s="527" t="s">
        <v>98</v>
      </c>
      <c r="F715" s="527" t="s">
        <v>436</v>
      </c>
      <c r="G715" s="527" t="s">
        <v>347</v>
      </c>
      <c r="H715" s="543" t="s">
        <v>469</v>
      </c>
      <c r="I715" s="527" t="s">
        <v>461</v>
      </c>
      <c r="J715" s="528">
        <v>42698</v>
      </c>
      <c r="K715" s="528">
        <v>43341</v>
      </c>
      <c r="L715" s="527">
        <v>21.43</v>
      </c>
      <c r="M715" s="527">
        <v>0.3</v>
      </c>
      <c r="N715" s="527" t="s">
        <v>115</v>
      </c>
      <c r="O715" s="527" t="s">
        <v>98</v>
      </c>
      <c r="P715" s="527" t="s">
        <v>480</v>
      </c>
      <c r="Q715" s="527">
        <v>0.3</v>
      </c>
      <c r="R715" s="527" t="s">
        <v>462</v>
      </c>
      <c r="S715" s="527"/>
      <c r="T715" s="531"/>
      <c r="X715" s="533"/>
    </row>
    <row r="716" spans="1:48" s="532" customFormat="1" ht="129.6" x14ac:dyDescent="0.3">
      <c r="A716" s="527">
        <v>10</v>
      </c>
      <c r="B716" s="527" t="s">
        <v>463</v>
      </c>
      <c r="C716" s="527">
        <v>454</v>
      </c>
      <c r="D716" s="527" t="s">
        <v>90</v>
      </c>
      <c r="E716" s="527" t="s">
        <v>98</v>
      </c>
      <c r="F716" s="527" t="s">
        <v>436</v>
      </c>
      <c r="G716" s="527" t="s">
        <v>464</v>
      </c>
      <c r="H716" s="543" t="s">
        <v>481</v>
      </c>
      <c r="I716" s="527" t="s">
        <v>465</v>
      </c>
      <c r="J716" s="528">
        <v>43034</v>
      </c>
      <c r="K716" s="528">
        <v>43098</v>
      </c>
      <c r="L716" s="527">
        <v>2.13</v>
      </c>
      <c r="M716" s="527">
        <v>3</v>
      </c>
      <c r="N716" s="527" t="s">
        <v>90</v>
      </c>
      <c r="O716" s="527" t="s">
        <v>98</v>
      </c>
      <c r="P716" s="527" t="s">
        <v>482</v>
      </c>
      <c r="Q716" s="527">
        <v>2.13</v>
      </c>
      <c r="R716" s="527"/>
      <c r="S716" s="527"/>
      <c r="T716" s="531"/>
      <c r="X716" s="533"/>
    </row>
    <row r="717" spans="1:48" s="312" customFormat="1" ht="144" x14ac:dyDescent="0.3">
      <c r="A717" s="527">
        <v>11</v>
      </c>
      <c r="B717" s="542" t="s">
        <v>483</v>
      </c>
      <c r="C717" s="527">
        <v>469</v>
      </c>
      <c r="D717" s="527" t="s">
        <v>115</v>
      </c>
      <c r="E717" s="527" t="s">
        <v>98</v>
      </c>
      <c r="F717" s="527" t="s">
        <v>436</v>
      </c>
      <c r="G717" s="527" t="s">
        <v>437</v>
      </c>
      <c r="H717" s="542" t="s">
        <v>484</v>
      </c>
      <c r="I717" s="527" t="s">
        <v>438</v>
      </c>
      <c r="J717" s="528">
        <v>38553</v>
      </c>
      <c r="K717" s="528">
        <v>38911</v>
      </c>
      <c r="L717" s="527">
        <v>11.93</v>
      </c>
      <c r="M717" s="527">
        <v>9</v>
      </c>
      <c r="N717" s="527" t="s">
        <v>90</v>
      </c>
      <c r="O717" s="527" t="s">
        <v>98</v>
      </c>
      <c r="P717" s="527" t="s">
        <v>485</v>
      </c>
      <c r="Q717" s="527">
        <v>0</v>
      </c>
      <c r="R717" s="527" t="s">
        <v>439</v>
      </c>
      <c r="S717" s="527"/>
      <c r="U717" s="471"/>
      <c r="V717" s="471">
        <v>41226</v>
      </c>
      <c r="W717" s="471">
        <v>41297</v>
      </c>
      <c r="X717" s="391">
        <f>+(W717-V717)/30</f>
        <v>2.3666666666666667</v>
      </c>
      <c r="Y717" s="340"/>
      <c r="Z717" s="340"/>
      <c r="AU717" s="312">
        <v>41856</v>
      </c>
      <c r="AV717" s="312">
        <f>+AU717-AT717</f>
        <v>41856</v>
      </c>
    </row>
    <row r="718" spans="1:48" s="163" customFormat="1" x14ac:dyDescent="0.3">
      <c r="U718" s="464"/>
      <c r="V718" s="464"/>
      <c r="W718" s="472"/>
      <c r="X718" s="391"/>
    </row>
    <row r="719" spans="1:48" s="163" customFormat="1" x14ac:dyDescent="0.3">
      <c r="U719" s="464"/>
      <c r="V719" s="464"/>
      <c r="W719" s="465"/>
      <c r="X719" s="391"/>
    </row>
    <row r="720" spans="1:48" s="163" customFormat="1" x14ac:dyDescent="0.3">
      <c r="U720" s="464"/>
      <c r="V720" s="464"/>
      <c r="W720" s="465"/>
      <c r="X720" s="391"/>
    </row>
    <row r="721" spans="1:24" s="163" customFormat="1" ht="15" thickBot="1" x14ac:dyDescent="0.35">
      <c r="A721" s="600"/>
      <c r="U721" s="465"/>
      <c r="V721" s="465"/>
      <c r="W721" s="465"/>
      <c r="X721" s="391"/>
    </row>
    <row r="722" spans="1:24" s="163" customFormat="1" ht="15" thickBot="1" x14ac:dyDescent="0.35">
      <c r="A722" s="591" t="s">
        <v>265</v>
      </c>
      <c r="B722" s="592"/>
      <c r="C722" s="592"/>
      <c r="D722" s="592"/>
      <c r="E722" s="593"/>
      <c r="F722" s="268"/>
      <c r="G722" s="269"/>
      <c r="H722" s="540"/>
      <c r="I722" s="196"/>
      <c r="J722" s="196"/>
      <c r="K722" s="196"/>
      <c r="L722" s="196"/>
      <c r="M722" s="196"/>
      <c r="N722" s="196"/>
      <c r="O722" s="196"/>
      <c r="P722" s="173"/>
      <c r="U722" s="465"/>
      <c r="V722" s="465"/>
      <c r="W722" s="465"/>
      <c r="X722" s="391"/>
    </row>
    <row r="723" spans="1:24" s="163" customFormat="1" ht="15" thickBot="1" x14ac:dyDescent="0.35">
      <c r="A723" s="591" t="s">
        <v>143</v>
      </c>
      <c r="B723" s="592"/>
      <c r="C723" s="593"/>
      <c r="D723" s="594" t="s">
        <v>126</v>
      </c>
      <c r="E723" s="594" t="s">
        <v>144</v>
      </c>
      <c r="F723" s="268"/>
      <c r="G723" s="269"/>
      <c r="H723" s="540"/>
      <c r="I723" s="196"/>
      <c r="J723" s="196"/>
      <c r="K723" s="196"/>
      <c r="L723" s="196"/>
      <c r="M723" s="196"/>
      <c r="N723" s="196"/>
      <c r="O723" s="196"/>
      <c r="P723" s="173"/>
      <c r="U723" s="465"/>
      <c r="V723" s="465"/>
      <c r="W723" s="465"/>
      <c r="X723" s="391"/>
    </row>
    <row r="724" spans="1:24" s="163" customFormat="1" x14ac:dyDescent="0.3">
      <c r="A724" s="332" t="s">
        <v>187</v>
      </c>
      <c r="B724" s="333"/>
      <c r="C724" s="334"/>
      <c r="D724" s="335"/>
      <c r="E724" s="335"/>
      <c r="F724" s="268"/>
      <c r="G724" s="269"/>
      <c r="H724" s="540"/>
      <c r="I724" s="196"/>
      <c r="J724" s="196"/>
      <c r="K724" s="196"/>
      <c r="L724" s="196"/>
      <c r="M724" s="196"/>
      <c r="N724" s="196"/>
      <c r="O724" s="196"/>
      <c r="P724" s="173"/>
      <c r="U724" s="465"/>
      <c r="V724" s="465"/>
      <c r="W724" s="465"/>
      <c r="X724" s="391"/>
    </row>
    <row r="725" spans="1:24" s="163" customFormat="1" x14ac:dyDescent="0.3">
      <c r="A725" s="326" t="s">
        <v>149</v>
      </c>
      <c r="B725" s="327"/>
      <c r="C725" s="328"/>
      <c r="D725" s="320"/>
      <c r="E725" s="320"/>
      <c r="F725" s="268"/>
      <c r="G725" s="269"/>
      <c r="H725" s="540"/>
      <c r="I725" s="196"/>
      <c r="J725" s="196"/>
      <c r="K725" s="196"/>
      <c r="L725" s="196"/>
      <c r="M725" s="196"/>
      <c r="N725" s="196"/>
      <c r="O725" s="196"/>
      <c r="P725" s="173"/>
      <c r="U725" s="465"/>
      <c r="V725" s="465"/>
      <c r="W725" s="465"/>
      <c r="X725" s="391"/>
    </row>
    <row r="726" spans="1:24" s="163" customFormat="1" x14ac:dyDescent="0.3">
      <c r="A726" s="343" t="s">
        <v>150</v>
      </c>
      <c r="B726" s="344"/>
      <c r="C726" s="345"/>
      <c r="D726" s="346"/>
      <c r="E726" s="346"/>
      <c r="F726" s="268"/>
      <c r="G726" s="269"/>
      <c r="H726" s="540"/>
      <c r="I726" s="196"/>
      <c r="J726" s="196"/>
      <c r="K726" s="196"/>
      <c r="L726" s="196"/>
      <c r="M726" s="196"/>
      <c r="N726" s="196"/>
      <c r="O726" s="196"/>
      <c r="P726" s="173"/>
      <c r="U726" s="465"/>
      <c r="V726" s="465"/>
      <c r="W726" s="465"/>
      <c r="X726" s="391"/>
    </row>
    <row r="727" spans="1:24" s="163" customFormat="1" x14ac:dyDescent="0.3">
      <c r="A727" s="343" t="s">
        <v>142</v>
      </c>
      <c r="B727" s="344"/>
      <c r="C727" s="345"/>
      <c r="D727" s="346"/>
      <c r="E727" s="346"/>
      <c r="F727" s="268"/>
      <c r="G727" s="269"/>
      <c r="H727" s="540"/>
      <c r="I727" s="196"/>
      <c r="J727" s="196"/>
      <c r="K727" s="196"/>
      <c r="L727" s="196"/>
      <c r="M727" s="196"/>
      <c r="N727" s="196"/>
      <c r="O727" s="196"/>
      <c r="P727" s="173"/>
      <c r="U727" s="465"/>
      <c r="V727" s="465"/>
      <c r="W727" s="465"/>
      <c r="X727" s="391"/>
    </row>
    <row r="728" spans="1:24" s="163" customFormat="1" x14ac:dyDescent="0.3">
      <c r="A728" s="343"/>
      <c r="B728" s="344"/>
      <c r="C728" s="345"/>
      <c r="D728" s="346"/>
      <c r="E728" s="346"/>
      <c r="F728" s="268"/>
      <c r="G728" s="269"/>
      <c r="H728" s="540"/>
      <c r="I728" s="196"/>
      <c r="J728" s="196"/>
      <c r="K728" s="196"/>
      <c r="L728" s="196"/>
      <c r="M728" s="196"/>
      <c r="N728" s="196"/>
      <c r="O728" s="196"/>
      <c r="P728" s="173"/>
      <c r="U728" s="465"/>
      <c r="V728" s="465"/>
      <c r="W728" s="465"/>
      <c r="X728" s="391"/>
    </row>
    <row r="729" spans="1:24" s="163" customFormat="1" ht="15" thickBot="1" x14ac:dyDescent="0.35">
      <c r="A729" s="329"/>
      <c r="B729" s="330"/>
      <c r="C729" s="331"/>
      <c r="D729" s="321"/>
      <c r="E729" s="321"/>
      <c r="F729" s="268"/>
      <c r="G729" s="269"/>
      <c r="H729" s="540"/>
      <c r="I729" s="196"/>
      <c r="J729" s="196"/>
      <c r="K729" s="196"/>
      <c r="L729" s="196"/>
      <c r="M729" s="196"/>
      <c r="N729" s="196"/>
      <c r="O729" s="196"/>
      <c r="P729" s="173"/>
      <c r="U729" s="465"/>
      <c r="V729" s="465"/>
      <c r="W729" s="465"/>
      <c r="X729" s="391"/>
    </row>
    <row r="730" spans="1:24" ht="15" thickBot="1" x14ac:dyDescent="0.35">
      <c r="A730" s="599"/>
      <c r="X730" s="391"/>
    </row>
    <row r="731" spans="1:24" ht="15" thickBot="1" x14ac:dyDescent="0.35">
      <c r="A731" s="591" t="s">
        <v>266</v>
      </c>
      <c r="B731" s="592"/>
      <c r="C731" s="592"/>
      <c r="D731" s="592"/>
      <c r="E731" s="593"/>
      <c r="F731" s="598"/>
      <c r="X731" s="391"/>
    </row>
    <row r="732" spans="1:24" ht="15" thickBot="1" x14ac:dyDescent="0.35">
      <c r="A732" s="591" t="s">
        <v>143</v>
      </c>
      <c r="B732" s="592"/>
      <c r="C732" s="593"/>
      <c r="D732" s="594" t="s">
        <v>126</v>
      </c>
      <c r="E732" s="594" t="s">
        <v>144</v>
      </c>
      <c r="X732" s="391"/>
    </row>
    <row r="733" spans="1:24" x14ac:dyDescent="0.3">
      <c r="A733" s="332" t="s">
        <v>187</v>
      </c>
      <c r="B733" s="333"/>
      <c r="C733" s="334"/>
      <c r="D733" s="335"/>
      <c r="E733" s="335"/>
      <c r="X733" s="391"/>
    </row>
    <row r="734" spans="1:24" x14ac:dyDescent="0.3">
      <c r="A734" s="326" t="s">
        <v>149</v>
      </c>
      <c r="B734" s="327"/>
      <c r="C734" s="328"/>
      <c r="D734" s="320"/>
      <c r="E734" s="320"/>
      <c r="X734" s="391"/>
    </row>
    <row r="735" spans="1:24" x14ac:dyDescent="0.3">
      <c r="A735" s="343" t="s">
        <v>151</v>
      </c>
      <c r="B735" s="344"/>
      <c r="C735" s="345"/>
      <c r="D735" s="346"/>
      <c r="E735" s="346"/>
      <c r="X735" s="391"/>
    </row>
    <row r="736" spans="1:24" ht="15" thickBot="1" x14ac:dyDescent="0.35">
      <c r="A736" s="329"/>
      <c r="B736" s="330"/>
      <c r="C736" s="331"/>
      <c r="D736" s="321"/>
      <c r="E736" s="321"/>
      <c r="X736" s="391"/>
    </row>
    <row r="737" spans="1:24" x14ac:dyDescent="0.3">
      <c r="X737" s="391"/>
    </row>
    <row r="738" spans="1:24" s="163" customFormat="1" ht="46.8" x14ac:dyDescent="0.3">
      <c r="A738" s="182" t="s">
        <v>206</v>
      </c>
      <c r="B738" s="182" t="s">
        <v>35</v>
      </c>
      <c r="C738" s="182" t="s">
        <v>189</v>
      </c>
      <c r="D738" s="182" t="s">
        <v>207</v>
      </c>
      <c r="E738" s="182" t="s">
        <v>152</v>
      </c>
      <c r="F738" s="182" t="s">
        <v>193</v>
      </c>
      <c r="G738" s="271" t="s">
        <v>97</v>
      </c>
      <c r="H738" s="541" t="s">
        <v>5</v>
      </c>
      <c r="I738" s="271" t="s">
        <v>145</v>
      </c>
      <c r="J738" s="271" t="s">
        <v>190</v>
      </c>
      <c r="K738" s="271" t="s">
        <v>209</v>
      </c>
      <c r="L738" s="271" t="s">
        <v>153</v>
      </c>
      <c r="M738" s="271" t="s">
        <v>191</v>
      </c>
      <c r="N738" s="271"/>
      <c r="O738" s="271"/>
      <c r="P738" s="271"/>
      <c r="Q738" s="271" t="s">
        <v>192</v>
      </c>
      <c r="U738" s="465"/>
      <c r="V738" s="465"/>
      <c r="W738" s="465"/>
      <c r="X738" s="391"/>
    </row>
    <row r="739" spans="1:24" s="312" customFormat="1" x14ac:dyDescent="0.3">
      <c r="A739" s="338">
        <v>1</v>
      </c>
      <c r="B739" s="338"/>
      <c r="C739" s="338"/>
      <c r="D739" s="341"/>
      <c r="E739" s="338"/>
      <c r="F739" s="338"/>
      <c r="G739" s="338"/>
      <c r="H739" s="542"/>
      <c r="I739" s="339"/>
      <c r="J739" s="339"/>
      <c r="K739" s="338"/>
      <c r="L739" s="349"/>
      <c r="O739" s="338"/>
      <c r="P739" s="338"/>
      <c r="Q739" s="338"/>
      <c r="U739" s="470"/>
      <c r="V739" s="470"/>
      <c r="W739" s="470"/>
      <c r="X739" s="391"/>
    </row>
    <row r="740" spans="1:24" s="312" customFormat="1" x14ac:dyDescent="0.3">
      <c r="A740" s="338">
        <v>2</v>
      </c>
      <c r="B740" s="338"/>
      <c r="C740" s="338"/>
      <c r="D740" s="341"/>
      <c r="E740" s="338"/>
      <c r="F740" s="338"/>
      <c r="G740" s="338"/>
      <c r="H740" s="542"/>
      <c r="I740" s="339"/>
      <c r="J740" s="339"/>
      <c r="K740" s="338"/>
      <c r="L740" s="349"/>
      <c r="M740" s="338"/>
      <c r="N740" s="338"/>
      <c r="O740" s="338"/>
      <c r="P740" s="338"/>
      <c r="Q740" s="338"/>
      <c r="U740" s="470"/>
      <c r="V740" s="470"/>
      <c r="W740" s="470"/>
      <c r="X740" s="391"/>
    </row>
    <row r="741" spans="1:24" s="312" customFormat="1" x14ac:dyDescent="0.3">
      <c r="A741" s="338">
        <v>3</v>
      </c>
      <c r="B741" s="338"/>
      <c r="C741" s="338"/>
      <c r="D741" s="341"/>
      <c r="E741" s="338"/>
      <c r="F741" s="338"/>
      <c r="G741" s="338"/>
      <c r="H741" s="542"/>
      <c r="I741" s="339"/>
      <c r="J741" s="339"/>
      <c r="K741" s="338"/>
      <c r="L741" s="342"/>
      <c r="M741" s="338"/>
      <c r="N741" s="338"/>
      <c r="O741" s="338"/>
      <c r="P741" s="338"/>
      <c r="Q741" s="338"/>
      <c r="U741" s="470"/>
      <c r="V741" s="470"/>
      <c r="W741" s="470"/>
      <c r="X741" s="391"/>
    </row>
    <row r="742" spans="1:24" s="312" customFormat="1" x14ac:dyDescent="0.3">
      <c r="A742" s="338">
        <v>4</v>
      </c>
      <c r="B742" s="338"/>
      <c r="C742" s="338"/>
      <c r="D742" s="341"/>
      <c r="E742" s="338"/>
      <c r="F742" s="338"/>
      <c r="G742" s="338"/>
      <c r="H742" s="542"/>
      <c r="I742" s="339"/>
      <c r="J742" s="339"/>
      <c r="K742" s="338"/>
      <c r="L742" s="342"/>
      <c r="M742" s="338"/>
      <c r="N742" s="338"/>
      <c r="O742" s="338"/>
      <c r="P742" s="338"/>
      <c r="Q742" s="338"/>
      <c r="U742" s="470"/>
      <c r="V742" s="470"/>
      <c r="W742" s="470"/>
      <c r="X742" s="391"/>
    </row>
    <row r="743" spans="1:24" s="312" customFormat="1" x14ac:dyDescent="0.3">
      <c r="A743" s="338">
        <v>5</v>
      </c>
      <c r="B743" s="338"/>
      <c r="C743" s="338"/>
      <c r="D743" s="341"/>
      <c r="E743" s="338"/>
      <c r="F743" s="338"/>
      <c r="G743" s="338"/>
      <c r="H743" s="542"/>
      <c r="I743" s="339"/>
      <c r="J743" s="339"/>
      <c r="K743" s="338"/>
      <c r="L743" s="342"/>
      <c r="M743" s="338"/>
      <c r="N743" s="338"/>
      <c r="O743" s="338"/>
      <c r="P743" s="338"/>
      <c r="Q743" s="338"/>
      <c r="U743" s="470"/>
      <c r="V743" s="470"/>
      <c r="W743" s="470"/>
      <c r="X743" s="391"/>
    </row>
    <row r="744" spans="1:24" s="312" customFormat="1" x14ac:dyDescent="0.3">
      <c r="A744" s="338">
        <v>6</v>
      </c>
      <c r="B744" s="338"/>
      <c r="C744" s="338"/>
      <c r="D744" s="341"/>
      <c r="E744" s="338"/>
      <c r="F744" s="338"/>
      <c r="G744" s="338"/>
      <c r="H744" s="542"/>
      <c r="I744" s="339"/>
      <c r="J744" s="339"/>
      <c r="K744" s="338"/>
      <c r="L744" s="342"/>
      <c r="M744" s="338"/>
      <c r="N744" s="338"/>
      <c r="O744" s="338"/>
      <c r="P744" s="338"/>
      <c r="Q744" s="347"/>
      <c r="U744" s="470"/>
      <c r="V744" s="470"/>
      <c r="W744" s="470"/>
      <c r="X744" s="391"/>
    </row>
    <row r="745" spans="1:24" s="312" customFormat="1" x14ac:dyDescent="0.3">
      <c r="A745" s="338">
        <v>7</v>
      </c>
      <c r="B745" s="338"/>
      <c r="C745" s="338"/>
      <c r="D745" s="341"/>
      <c r="E745" s="338"/>
      <c r="F745" s="338"/>
      <c r="G745" s="338"/>
      <c r="H745" s="542"/>
      <c r="I745" s="339"/>
      <c r="J745" s="339"/>
      <c r="K745" s="338"/>
      <c r="L745" s="342"/>
      <c r="M745" s="338"/>
      <c r="N745" s="338"/>
      <c r="O745" s="338"/>
      <c r="P745" s="338"/>
      <c r="Q745" s="338"/>
      <c r="U745" s="470"/>
      <c r="V745" s="470"/>
      <c r="W745" s="470"/>
      <c r="X745" s="391"/>
    </row>
    <row r="746" spans="1:24" s="312" customFormat="1" x14ac:dyDescent="0.3">
      <c r="A746" s="338">
        <v>8</v>
      </c>
      <c r="B746" s="338"/>
      <c r="C746" s="338"/>
      <c r="D746" s="341"/>
      <c r="E746" s="338"/>
      <c r="F746" s="338"/>
      <c r="G746" s="338"/>
      <c r="H746" s="542"/>
      <c r="I746" s="339"/>
      <c r="J746" s="339"/>
      <c r="K746" s="338"/>
      <c r="L746" s="342"/>
      <c r="M746" s="338"/>
      <c r="N746" s="338"/>
      <c r="O746" s="338"/>
      <c r="P746" s="338"/>
      <c r="Q746" s="338"/>
      <c r="U746" s="470"/>
      <c r="V746" s="470"/>
      <c r="W746" s="470"/>
      <c r="X746" s="391"/>
    </row>
    <row r="747" spans="1:24" s="312" customFormat="1" x14ac:dyDescent="0.3">
      <c r="A747" s="338">
        <v>9</v>
      </c>
      <c r="B747" s="338"/>
      <c r="C747" s="338"/>
      <c r="D747" s="341"/>
      <c r="E747" s="338"/>
      <c r="F747" s="338"/>
      <c r="G747" s="338"/>
      <c r="H747" s="542"/>
      <c r="I747" s="339"/>
      <c r="J747" s="339"/>
      <c r="K747" s="338"/>
      <c r="L747" s="342"/>
      <c r="M747" s="338"/>
      <c r="N747" s="338"/>
      <c r="O747" s="338"/>
      <c r="P747" s="338"/>
      <c r="Q747" s="338"/>
      <c r="U747" s="470"/>
      <c r="V747" s="470"/>
      <c r="W747" s="470"/>
      <c r="X747" s="391"/>
    </row>
    <row r="748" spans="1:24" s="312" customFormat="1" x14ac:dyDescent="0.3">
      <c r="A748" s="338">
        <v>10</v>
      </c>
      <c r="B748" s="338"/>
      <c r="C748" s="338"/>
      <c r="D748" s="341"/>
      <c r="E748" s="338"/>
      <c r="F748" s="338"/>
      <c r="G748" s="338"/>
      <c r="H748" s="542"/>
      <c r="I748" s="339"/>
      <c r="J748" s="339"/>
      <c r="K748" s="338"/>
      <c r="L748" s="342"/>
      <c r="M748" s="338"/>
      <c r="N748" s="338"/>
      <c r="O748" s="338"/>
      <c r="P748" s="338"/>
      <c r="Q748" s="338"/>
      <c r="U748" s="470"/>
      <c r="V748" s="470"/>
      <c r="W748" s="470"/>
      <c r="X748" s="391"/>
    </row>
    <row r="749" spans="1:24" s="312" customFormat="1" x14ac:dyDescent="0.3">
      <c r="A749" s="338">
        <v>11</v>
      </c>
      <c r="B749" s="338"/>
      <c r="C749" s="338"/>
      <c r="D749" s="341"/>
      <c r="E749" s="338"/>
      <c r="F749" s="338"/>
      <c r="G749" s="338"/>
      <c r="H749" s="542"/>
      <c r="I749" s="339"/>
      <c r="J749" s="339"/>
      <c r="K749" s="338"/>
      <c r="L749" s="342"/>
      <c r="M749" s="338"/>
      <c r="N749" s="338"/>
      <c r="O749" s="338"/>
      <c r="P749" s="338"/>
      <c r="Q749" s="338"/>
      <c r="U749" s="470"/>
      <c r="V749" s="470"/>
      <c r="W749" s="470"/>
      <c r="X749" s="391"/>
    </row>
    <row r="750" spans="1:24" s="312" customFormat="1" x14ac:dyDescent="0.3">
      <c r="A750" s="338">
        <v>12</v>
      </c>
      <c r="B750" s="338"/>
      <c r="C750" s="338"/>
      <c r="D750" s="341"/>
      <c r="E750" s="338"/>
      <c r="F750" s="338"/>
      <c r="G750" s="338"/>
      <c r="H750" s="542"/>
      <c r="I750" s="339"/>
      <c r="J750" s="339"/>
      <c r="K750" s="338"/>
      <c r="L750" s="342"/>
      <c r="M750" s="338"/>
      <c r="N750" s="338"/>
      <c r="O750" s="338"/>
      <c r="P750" s="338"/>
      <c r="Q750" s="338"/>
      <c r="U750" s="470"/>
      <c r="V750" s="470"/>
      <c r="W750" s="470"/>
      <c r="X750" s="391"/>
    </row>
    <row r="751" spans="1:24" s="312" customFormat="1" x14ac:dyDescent="0.3">
      <c r="A751" s="338">
        <v>13</v>
      </c>
      <c r="B751" s="338"/>
      <c r="C751" s="338"/>
      <c r="D751" s="341"/>
      <c r="E751" s="338"/>
      <c r="F751" s="338"/>
      <c r="G751" s="338"/>
      <c r="H751" s="542"/>
      <c r="I751" s="339"/>
      <c r="J751" s="339"/>
      <c r="K751" s="338"/>
      <c r="L751" s="342"/>
      <c r="M751" s="338"/>
      <c r="N751" s="338"/>
      <c r="O751" s="338"/>
      <c r="P751" s="338"/>
      <c r="Q751" s="338"/>
      <c r="U751" s="470"/>
      <c r="V751" s="470"/>
      <c r="W751" s="470"/>
      <c r="X751" s="391">
        <f t="shared" ref="X751:X780" si="13">+(W751-V751)/30</f>
        <v>0</v>
      </c>
    </row>
    <row r="752" spans="1:24" s="312" customFormat="1" x14ac:dyDescent="0.3">
      <c r="A752" s="338">
        <v>14</v>
      </c>
      <c r="B752" s="338"/>
      <c r="C752" s="338"/>
      <c r="D752" s="341"/>
      <c r="E752" s="338"/>
      <c r="F752" s="338"/>
      <c r="G752" s="338"/>
      <c r="H752" s="542"/>
      <c r="I752" s="339"/>
      <c r="J752" s="339"/>
      <c r="K752" s="338"/>
      <c r="L752" s="342"/>
      <c r="M752" s="338"/>
      <c r="N752" s="338"/>
      <c r="O752" s="338"/>
      <c r="P752" s="338"/>
      <c r="Q752" s="347"/>
      <c r="U752" s="470"/>
      <c r="V752" s="470"/>
      <c r="W752" s="470"/>
      <c r="X752" s="391">
        <f t="shared" si="13"/>
        <v>0</v>
      </c>
    </row>
    <row r="753" spans="1:24" s="312" customFormat="1" x14ac:dyDescent="0.3">
      <c r="A753" s="338"/>
      <c r="B753" s="338"/>
      <c r="C753" s="338"/>
      <c r="D753" s="341"/>
      <c r="E753" s="338"/>
      <c r="F753" s="338"/>
      <c r="G753" s="338"/>
      <c r="H753" s="542"/>
      <c r="I753" s="339"/>
      <c r="J753" s="339"/>
      <c r="K753" s="338"/>
      <c r="L753" s="342"/>
      <c r="M753" s="338"/>
      <c r="N753" s="338"/>
      <c r="O753" s="338"/>
      <c r="P753" s="338"/>
      <c r="Q753" s="347"/>
      <c r="U753" s="470"/>
      <c r="V753" s="470"/>
      <c r="W753" s="470"/>
      <c r="X753" s="391">
        <f t="shared" si="13"/>
        <v>0</v>
      </c>
    </row>
    <row r="754" spans="1:24" s="312" customFormat="1" x14ac:dyDescent="0.3">
      <c r="A754" s="338"/>
      <c r="B754" s="338"/>
      <c r="C754" s="338"/>
      <c r="D754" s="338"/>
      <c r="E754" s="338"/>
      <c r="F754" s="338"/>
      <c r="G754" s="338"/>
      <c r="H754" s="544"/>
      <c r="I754" s="348"/>
      <c r="J754" s="348" t="s">
        <v>210</v>
      </c>
      <c r="K754" s="338">
        <f>SUM(K739:K747)</f>
        <v>0</v>
      </c>
      <c r="L754" s="338"/>
      <c r="M754" s="338"/>
      <c r="N754" s="338"/>
      <c r="O754" s="338"/>
      <c r="P754" s="338"/>
      <c r="U754" s="470"/>
      <c r="V754" s="470"/>
      <c r="W754" s="470"/>
      <c r="X754" s="391">
        <f t="shared" si="13"/>
        <v>0</v>
      </c>
    </row>
    <row r="755" spans="1:24" ht="15" thickBot="1" x14ac:dyDescent="0.35">
      <c r="A755" s="599"/>
      <c r="X755" s="391">
        <f t="shared" si="13"/>
        <v>0</v>
      </c>
    </row>
    <row r="756" spans="1:24" ht="15" thickBot="1" x14ac:dyDescent="0.35">
      <c r="A756" s="591" t="s">
        <v>303</v>
      </c>
      <c r="B756" s="592"/>
      <c r="C756" s="592"/>
      <c r="D756" s="592"/>
      <c r="E756" s="593"/>
      <c r="X756" s="391">
        <f t="shared" si="13"/>
        <v>0</v>
      </c>
    </row>
    <row r="757" spans="1:24" ht="15" thickBot="1" x14ac:dyDescent="0.35">
      <c r="A757" s="591" t="s">
        <v>143</v>
      </c>
      <c r="B757" s="592"/>
      <c r="C757" s="593"/>
      <c r="D757" s="594" t="s">
        <v>126</v>
      </c>
      <c r="E757" s="594" t="s">
        <v>144</v>
      </c>
      <c r="X757" s="391">
        <f t="shared" si="13"/>
        <v>0</v>
      </c>
    </row>
    <row r="758" spans="1:24" x14ac:dyDescent="0.3">
      <c r="A758" s="332" t="s">
        <v>187</v>
      </c>
      <c r="B758" s="333"/>
      <c r="C758" s="334"/>
      <c r="D758" s="335"/>
      <c r="E758" s="335"/>
      <c r="X758" s="391">
        <f t="shared" si="13"/>
        <v>0</v>
      </c>
    </row>
    <row r="759" spans="1:24" x14ac:dyDescent="0.3">
      <c r="A759" s="326" t="s">
        <v>149</v>
      </c>
      <c r="B759" s="327"/>
      <c r="C759" s="328"/>
      <c r="D759" s="320"/>
      <c r="E759" s="320"/>
      <c r="X759" s="391">
        <f t="shared" si="13"/>
        <v>0</v>
      </c>
    </row>
    <row r="760" spans="1:24" x14ac:dyDescent="0.3">
      <c r="A760" s="343" t="s">
        <v>151</v>
      </c>
      <c r="B760" s="344"/>
      <c r="C760" s="345"/>
      <c r="D760" s="346"/>
      <c r="E760" s="346"/>
      <c r="X760" s="391">
        <f t="shared" si="13"/>
        <v>0</v>
      </c>
    </row>
    <row r="761" spans="1:24" ht="15" thickBot="1" x14ac:dyDescent="0.35">
      <c r="A761" s="329" t="s">
        <v>142</v>
      </c>
      <c r="B761" s="330"/>
      <c r="C761" s="331"/>
      <c r="D761" s="321"/>
      <c r="E761" s="321"/>
      <c r="X761" s="391">
        <f t="shared" si="13"/>
        <v>0</v>
      </c>
    </row>
    <row r="762" spans="1:24" x14ac:dyDescent="0.3">
      <c r="X762" s="391">
        <f t="shared" si="13"/>
        <v>0</v>
      </c>
    </row>
    <row r="763" spans="1:24" s="163" customFormat="1" ht="46.8" x14ac:dyDescent="0.3">
      <c r="A763" s="595" t="s">
        <v>206</v>
      </c>
      <c r="B763" s="595" t="s">
        <v>35</v>
      </c>
      <c r="C763" s="595" t="s">
        <v>189</v>
      </c>
      <c r="D763" s="595" t="s">
        <v>207</v>
      </c>
      <c r="E763" s="595" t="s">
        <v>194</v>
      </c>
      <c r="F763" s="595" t="s">
        <v>154</v>
      </c>
      <c r="G763" s="597" t="s">
        <v>97</v>
      </c>
      <c r="H763" s="596" t="s">
        <v>5</v>
      </c>
      <c r="I763" s="597" t="s">
        <v>145</v>
      </c>
      <c r="J763" s="597" t="s">
        <v>190</v>
      </c>
      <c r="K763" s="597" t="s">
        <v>211</v>
      </c>
      <c r="L763" s="597" t="s">
        <v>153</v>
      </c>
      <c r="M763" s="597" t="s">
        <v>191</v>
      </c>
      <c r="N763" s="597"/>
      <c r="O763" s="597"/>
      <c r="P763" s="597"/>
      <c r="Q763" s="597" t="s">
        <v>192</v>
      </c>
      <c r="U763" s="465"/>
      <c r="V763" s="465"/>
      <c r="W763" s="465"/>
      <c r="X763" s="391">
        <f t="shared" si="13"/>
        <v>0</v>
      </c>
    </row>
    <row r="764" spans="1:24" s="312" customFormat="1" x14ac:dyDescent="0.3">
      <c r="A764" s="338">
        <v>1</v>
      </c>
      <c r="B764" s="338"/>
      <c r="C764" s="338"/>
      <c r="D764" s="349"/>
      <c r="E764" s="338"/>
      <c r="F764" s="338"/>
      <c r="G764" s="338"/>
      <c r="H764" s="542"/>
      <c r="I764" s="339"/>
      <c r="J764" s="339"/>
      <c r="K764" s="338"/>
      <c r="L764" s="349"/>
      <c r="O764" s="338"/>
      <c r="P764" s="338"/>
      <c r="Q764" s="338"/>
      <c r="U764" s="470"/>
      <c r="V764" s="470"/>
      <c r="W764" s="470"/>
      <c r="X764" s="391">
        <f t="shared" si="13"/>
        <v>0</v>
      </c>
    </row>
    <row r="765" spans="1:24" s="312" customFormat="1" x14ac:dyDescent="0.3">
      <c r="A765" s="338"/>
      <c r="B765" s="338"/>
      <c r="C765" s="338"/>
      <c r="D765" s="349"/>
      <c r="E765" s="338"/>
      <c r="F765" s="338"/>
      <c r="G765" s="338"/>
      <c r="H765" s="542"/>
      <c r="I765" s="339"/>
      <c r="J765" s="339"/>
      <c r="K765" s="338"/>
      <c r="L765" s="349"/>
      <c r="M765" s="338"/>
      <c r="N765" s="338"/>
      <c r="O765" s="338"/>
      <c r="P765" s="338"/>
      <c r="Q765" s="338"/>
      <c r="U765" s="470"/>
      <c r="V765" s="470"/>
      <c r="W765" s="470"/>
      <c r="X765" s="391">
        <f t="shared" si="13"/>
        <v>0</v>
      </c>
    </row>
    <row r="766" spans="1:24" s="312" customFormat="1" x14ac:dyDescent="0.3">
      <c r="A766" s="338"/>
      <c r="B766" s="338"/>
      <c r="C766" s="338"/>
      <c r="D766" s="349"/>
      <c r="E766" s="338"/>
      <c r="F766" s="338"/>
      <c r="G766" s="338"/>
      <c r="H766" s="542"/>
      <c r="I766" s="339"/>
      <c r="J766" s="339"/>
      <c r="K766" s="338"/>
      <c r="L766" s="349"/>
      <c r="M766" s="338"/>
      <c r="N766" s="338"/>
      <c r="O766" s="338"/>
      <c r="P766" s="338"/>
      <c r="Q766" s="347"/>
      <c r="U766" s="470"/>
      <c r="V766" s="470"/>
      <c r="W766" s="470"/>
      <c r="X766" s="391">
        <f t="shared" si="13"/>
        <v>0</v>
      </c>
    </row>
    <row r="767" spans="1:24" s="312" customFormat="1" x14ac:dyDescent="0.3">
      <c r="A767" s="338"/>
      <c r="B767" s="338"/>
      <c r="C767" s="338"/>
      <c r="D767" s="338"/>
      <c r="E767" s="338"/>
      <c r="F767" s="338"/>
      <c r="G767" s="338"/>
      <c r="H767" s="544"/>
      <c r="I767" s="348"/>
      <c r="J767" s="348" t="s">
        <v>210</v>
      </c>
      <c r="K767" s="338">
        <f>SUM(K764:K766)</f>
        <v>0</v>
      </c>
      <c r="L767" s="338"/>
      <c r="M767" s="338"/>
      <c r="N767" s="338"/>
      <c r="O767" s="338"/>
      <c r="P767" s="338"/>
      <c r="U767" s="470"/>
      <c r="V767" s="470"/>
      <c r="W767" s="470"/>
      <c r="X767" s="391">
        <f t="shared" si="13"/>
        <v>0</v>
      </c>
    </row>
    <row r="768" spans="1:24" ht="15" thickBot="1" x14ac:dyDescent="0.35">
      <c r="X768" s="391">
        <f t="shared" si="13"/>
        <v>0</v>
      </c>
    </row>
    <row r="769" spans="1:24" ht="15" thickBot="1" x14ac:dyDescent="0.35">
      <c r="A769" s="591" t="s">
        <v>306</v>
      </c>
      <c r="B769" s="592"/>
      <c r="C769" s="592"/>
      <c r="D769" s="592"/>
      <c r="E769" s="593"/>
      <c r="X769" s="391">
        <f t="shared" si="13"/>
        <v>0</v>
      </c>
    </row>
    <row r="770" spans="1:24" ht="15" thickBot="1" x14ac:dyDescent="0.35">
      <c r="A770" s="591" t="s">
        <v>143</v>
      </c>
      <c r="B770" s="592"/>
      <c r="C770" s="593"/>
      <c r="D770" s="594" t="s">
        <v>126</v>
      </c>
      <c r="E770" s="594" t="s">
        <v>144</v>
      </c>
      <c r="X770" s="391">
        <f t="shared" si="13"/>
        <v>0</v>
      </c>
    </row>
    <row r="771" spans="1:24" x14ac:dyDescent="0.3">
      <c r="A771" s="332" t="s">
        <v>187</v>
      </c>
      <c r="B771" s="333"/>
      <c r="C771" s="334"/>
      <c r="D771" s="335"/>
      <c r="E771" s="335"/>
      <c r="X771" s="391">
        <f t="shared" si="13"/>
        <v>0</v>
      </c>
    </row>
    <row r="772" spans="1:24" x14ac:dyDescent="0.3">
      <c r="A772" s="326" t="s">
        <v>149</v>
      </c>
      <c r="B772" s="327"/>
      <c r="C772" s="328"/>
      <c r="D772" s="320"/>
      <c r="E772" s="320"/>
      <c r="X772" s="391">
        <f t="shared" si="13"/>
        <v>0</v>
      </c>
    </row>
    <row r="773" spans="1:24" x14ac:dyDescent="0.3">
      <c r="A773" s="343" t="s">
        <v>151</v>
      </c>
      <c r="B773" s="344"/>
      <c r="C773" s="345"/>
      <c r="D773" s="346"/>
      <c r="E773" s="346"/>
      <c r="X773" s="391">
        <f t="shared" si="13"/>
        <v>0</v>
      </c>
    </row>
    <row r="774" spans="1:24" x14ac:dyDescent="0.3">
      <c r="A774" s="343" t="s">
        <v>142</v>
      </c>
      <c r="B774" s="344"/>
      <c r="C774" s="345"/>
      <c r="D774" s="346"/>
      <c r="E774" s="346"/>
      <c r="X774" s="391">
        <f t="shared" si="13"/>
        <v>0</v>
      </c>
    </row>
    <row r="775" spans="1:24" ht="15" thickBot="1" x14ac:dyDescent="0.35">
      <c r="A775" s="329" t="s">
        <v>125</v>
      </c>
      <c r="B775" s="330"/>
      <c r="C775" s="331"/>
      <c r="D775" s="321"/>
      <c r="E775" s="321"/>
      <c r="X775" s="391">
        <f t="shared" si="13"/>
        <v>0</v>
      </c>
    </row>
    <row r="776" spans="1:24" x14ac:dyDescent="0.3">
      <c r="X776" s="391">
        <f t="shared" si="13"/>
        <v>0</v>
      </c>
    </row>
    <row r="777" spans="1:24" s="163" customFormat="1" ht="46.8" x14ac:dyDescent="0.3">
      <c r="A777" s="595" t="s">
        <v>206</v>
      </c>
      <c r="B777" s="595" t="s">
        <v>35</v>
      </c>
      <c r="C777" s="595" t="s">
        <v>189</v>
      </c>
      <c r="D777" s="595" t="s">
        <v>207</v>
      </c>
      <c r="E777" s="595" t="s">
        <v>96</v>
      </c>
      <c r="F777" s="595" t="s">
        <v>16</v>
      </c>
      <c r="G777" s="597" t="s">
        <v>97</v>
      </c>
      <c r="H777" s="596" t="s">
        <v>5</v>
      </c>
      <c r="I777" s="597" t="s">
        <v>145</v>
      </c>
      <c r="J777" s="597" t="s">
        <v>190</v>
      </c>
      <c r="K777" s="597" t="s">
        <v>211</v>
      </c>
      <c r="L777" s="597" t="s">
        <v>153</v>
      </c>
      <c r="M777" s="597" t="s">
        <v>191</v>
      </c>
      <c r="N777" s="597" t="s">
        <v>212</v>
      </c>
      <c r="O777" s="597"/>
      <c r="P777" s="597"/>
      <c r="Q777" s="597" t="s">
        <v>192</v>
      </c>
      <c r="U777" s="465"/>
      <c r="V777" s="465"/>
      <c r="W777" s="465"/>
      <c r="X777" s="391">
        <f t="shared" si="13"/>
        <v>0</v>
      </c>
    </row>
    <row r="778" spans="1:24" s="312" customFormat="1" x14ac:dyDescent="0.3">
      <c r="A778" s="338">
        <v>1</v>
      </c>
      <c r="B778" s="338"/>
      <c r="C778" s="338"/>
      <c r="D778" s="341"/>
      <c r="E778" s="338"/>
      <c r="F778" s="338"/>
      <c r="G778" s="338"/>
      <c r="H778" s="542"/>
      <c r="I778" s="339"/>
      <c r="J778" s="339"/>
      <c r="K778" s="338"/>
      <c r="L778" s="342"/>
      <c r="O778" s="338"/>
      <c r="P778" s="338"/>
      <c r="Q778" s="338"/>
      <c r="U778" s="470"/>
      <c r="V778" s="470"/>
      <c r="W778" s="470"/>
      <c r="X778" s="391">
        <f t="shared" si="13"/>
        <v>0</v>
      </c>
    </row>
    <row r="779" spans="1:24" s="312" customFormat="1" x14ac:dyDescent="0.3">
      <c r="A779" s="338">
        <v>2</v>
      </c>
      <c r="B779" s="338"/>
      <c r="C779" s="338"/>
      <c r="D779" s="341"/>
      <c r="E779" s="338"/>
      <c r="F779" s="338"/>
      <c r="G779" s="338"/>
      <c r="H779" s="542"/>
      <c r="I779" s="339"/>
      <c r="J779" s="339"/>
      <c r="K779" s="338"/>
      <c r="L779" s="342"/>
      <c r="M779" s="338"/>
      <c r="N779" s="338"/>
      <c r="O779" s="338"/>
      <c r="P779" s="338"/>
      <c r="Q779" s="338"/>
      <c r="U779" s="470"/>
      <c r="V779" s="470"/>
      <c r="W779" s="470"/>
      <c r="X779" s="391">
        <f t="shared" si="13"/>
        <v>0</v>
      </c>
    </row>
    <row r="780" spans="1:24" s="312" customFormat="1" x14ac:dyDescent="0.3">
      <c r="A780" s="338">
        <v>3</v>
      </c>
      <c r="B780" s="338"/>
      <c r="C780" s="338"/>
      <c r="D780" s="341"/>
      <c r="E780" s="338"/>
      <c r="F780" s="338"/>
      <c r="G780" s="338"/>
      <c r="H780" s="542"/>
      <c r="I780" s="339"/>
      <c r="J780" s="339"/>
      <c r="K780" s="338"/>
      <c r="L780" s="342"/>
      <c r="M780" s="338"/>
      <c r="N780" s="338"/>
      <c r="O780" s="338"/>
      <c r="P780" s="338"/>
      <c r="Q780" s="338"/>
      <c r="U780" s="470"/>
      <c r="V780" s="470"/>
      <c r="W780" s="470"/>
      <c r="X780" s="391">
        <f t="shared" si="13"/>
        <v>0</v>
      </c>
    </row>
    <row r="781" spans="1:24" s="312" customFormat="1" x14ac:dyDescent="0.3">
      <c r="A781" s="338">
        <v>4</v>
      </c>
      <c r="B781" s="338"/>
      <c r="C781" s="338"/>
      <c r="D781" s="341"/>
      <c r="E781" s="338"/>
      <c r="F781" s="338"/>
      <c r="G781" s="338"/>
      <c r="H781" s="542"/>
      <c r="I781" s="339"/>
      <c r="J781" s="339"/>
      <c r="K781" s="338"/>
      <c r="L781" s="342"/>
      <c r="M781" s="338"/>
      <c r="N781" s="338"/>
      <c r="O781" s="338"/>
      <c r="P781" s="338"/>
      <c r="Q781" s="347"/>
      <c r="U781" s="470"/>
      <c r="V781" s="470"/>
      <c r="W781" s="470"/>
      <c r="X781" s="524">
        <f>SUM(X717:X717)</f>
        <v>2.3666666666666667</v>
      </c>
    </row>
    <row r="782" spans="1:24" s="312" customFormat="1" x14ac:dyDescent="0.3">
      <c r="A782" s="338">
        <v>5</v>
      </c>
      <c r="B782" s="338"/>
      <c r="C782" s="338"/>
      <c r="D782" s="341"/>
      <c r="E782" s="338"/>
      <c r="F782" s="338"/>
      <c r="G782" s="338"/>
      <c r="H782" s="542"/>
      <c r="I782" s="339"/>
      <c r="J782" s="339"/>
      <c r="K782" s="338"/>
      <c r="L782" s="342"/>
      <c r="M782" s="338"/>
      <c r="N782" s="338"/>
      <c r="O782" s="338"/>
      <c r="P782" s="338"/>
      <c r="Q782" s="347"/>
      <c r="U782" s="470"/>
      <c r="V782" s="470"/>
      <c r="W782" s="470"/>
    </row>
    <row r="783" spans="1:24" s="312" customFormat="1" x14ac:dyDescent="0.3">
      <c r="A783" s="338"/>
      <c r="B783" s="338"/>
      <c r="C783" s="338"/>
      <c r="D783" s="338"/>
      <c r="E783" s="338"/>
      <c r="F783" s="338"/>
      <c r="G783" s="338"/>
      <c r="H783" s="544"/>
      <c r="I783" s="348"/>
      <c r="J783" s="348" t="s">
        <v>210</v>
      </c>
      <c r="K783" s="338">
        <f>SUM(K778:K782)</f>
        <v>0</v>
      </c>
      <c r="L783" s="338"/>
      <c r="M783" s="338"/>
      <c r="N783" s="338"/>
      <c r="O783" s="338"/>
      <c r="P783" s="338"/>
      <c r="U783" s="470"/>
      <c r="V783" s="470"/>
      <c r="W783" s="470"/>
    </row>
    <row r="784" spans="1:24" ht="15" thickBot="1" x14ac:dyDescent="0.35"/>
    <row r="785" spans="1:5" ht="15" thickBot="1" x14ac:dyDescent="0.35">
      <c r="A785" s="591" t="s">
        <v>304</v>
      </c>
      <c r="B785" s="592"/>
      <c r="C785" s="592"/>
      <c r="D785" s="592"/>
      <c r="E785" s="593"/>
    </row>
    <row r="786" spans="1:5" ht="15" thickBot="1" x14ac:dyDescent="0.35">
      <c r="A786" s="591" t="s">
        <v>143</v>
      </c>
      <c r="B786" s="592"/>
      <c r="C786" s="593"/>
      <c r="D786" s="594" t="s">
        <v>126</v>
      </c>
      <c r="E786" s="594" t="s">
        <v>144</v>
      </c>
    </row>
    <row r="787" spans="1:5" x14ac:dyDescent="0.3">
      <c r="A787" s="332" t="s">
        <v>187</v>
      </c>
      <c r="B787" s="333"/>
      <c r="C787" s="334"/>
      <c r="D787" s="335"/>
      <c r="E787" s="335"/>
    </row>
    <row r="788" spans="1:5" x14ac:dyDescent="0.3">
      <c r="A788" s="326" t="s">
        <v>155</v>
      </c>
      <c r="B788" s="327"/>
      <c r="C788" s="328"/>
      <c r="D788" s="320"/>
      <c r="E788" s="320"/>
    </row>
    <row r="789" spans="1:5" x14ac:dyDescent="0.3">
      <c r="A789" s="343" t="s">
        <v>125</v>
      </c>
      <c r="B789" s="344"/>
      <c r="C789" s="345"/>
      <c r="D789" s="346"/>
      <c r="E789" s="346"/>
    </row>
    <row r="790" spans="1:5" x14ac:dyDescent="0.3">
      <c r="A790" s="343" t="s">
        <v>195</v>
      </c>
      <c r="B790" s="344"/>
      <c r="C790" s="345"/>
      <c r="D790" s="346"/>
      <c r="E790" s="346"/>
    </row>
    <row r="791" spans="1:5" ht="15" thickBot="1" x14ac:dyDescent="0.35">
      <c r="A791" s="329"/>
      <c r="B791" s="330"/>
      <c r="C791" s="331"/>
      <c r="D791" s="321"/>
      <c r="E791" s="321"/>
    </row>
    <row r="792" spans="1:5" ht="15" thickBot="1" x14ac:dyDescent="0.35"/>
    <row r="793" spans="1:5" ht="15" thickBot="1" x14ac:dyDescent="0.35">
      <c r="A793" s="591" t="s">
        <v>305</v>
      </c>
      <c r="B793" s="592"/>
      <c r="C793" s="592"/>
      <c r="D793" s="592"/>
      <c r="E793" s="593"/>
    </row>
    <row r="794" spans="1:5" ht="15" thickBot="1" x14ac:dyDescent="0.35">
      <c r="A794" s="591" t="s">
        <v>143</v>
      </c>
      <c r="B794" s="592"/>
      <c r="C794" s="593"/>
      <c r="D794" s="594" t="s">
        <v>126</v>
      </c>
      <c r="E794" s="594" t="s">
        <v>144</v>
      </c>
    </row>
    <row r="795" spans="1:5" x14ac:dyDescent="0.3">
      <c r="A795" s="332" t="s">
        <v>187</v>
      </c>
      <c r="B795" s="333"/>
      <c r="C795" s="334"/>
      <c r="D795" s="335"/>
      <c r="E795" s="335"/>
    </row>
    <row r="796" spans="1:5" x14ac:dyDescent="0.3">
      <c r="A796" s="326" t="s">
        <v>149</v>
      </c>
      <c r="B796" s="327"/>
      <c r="C796" s="328"/>
      <c r="D796" s="320"/>
      <c r="E796" s="320"/>
    </row>
    <row r="797" spans="1:5" x14ac:dyDescent="0.3">
      <c r="A797" s="343" t="s">
        <v>156</v>
      </c>
      <c r="B797" s="344"/>
      <c r="C797" s="345"/>
      <c r="D797" s="346"/>
      <c r="E797" s="346"/>
    </row>
    <row r="798" spans="1:5" x14ac:dyDescent="0.3">
      <c r="A798" s="343" t="s">
        <v>142</v>
      </c>
      <c r="B798" s="344"/>
      <c r="C798" s="345"/>
      <c r="D798" s="346"/>
      <c r="E798" s="346"/>
    </row>
    <row r="799" spans="1:5" ht="15" thickBot="1" x14ac:dyDescent="0.35">
      <c r="A799" s="329" t="s">
        <v>125</v>
      </c>
      <c r="B799" s="330"/>
      <c r="C799" s="331"/>
      <c r="D799" s="321"/>
      <c r="E799" s="321"/>
    </row>
    <row r="800" spans="1:5" ht="15" thickBot="1" x14ac:dyDescent="0.35"/>
    <row r="801" spans="1:6" ht="15" thickBot="1" x14ac:dyDescent="0.35">
      <c r="A801" s="591" t="s">
        <v>157</v>
      </c>
      <c r="B801" s="592"/>
      <c r="C801" s="592"/>
      <c r="D801" s="592"/>
      <c r="E801" s="593"/>
    </row>
    <row r="802" spans="1:6" ht="15" thickBot="1" x14ac:dyDescent="0.35">
      <c r="A802" s="591" t="s">
        <v>143</v>
      </c>
      <c r="B802" s="592"/>
      <c r="C802" s="593"/>
      <c r="D802" s="594" t="s">
        <v>126</v>
      </c>
      <c r="E802" s="594" t="s">
        <v>144</v>
      </c>
      <c r="F802" s="594" t="s">
        <v>36</v>
      </c>
    </row>
    <row r="803" spans="1:6" x14ac:dyDescent="0.3">
      <c r="A803" s="332" t="s">
        <v>158</v>
      </c>
      <c r="B803" s="333"/>
      <c r="C803" s="334"/>
      <c r="D803" s="335"/>
      <c r="E803" s="335"/>
      <c r="F803" s="366"/>
    </row>
    <row r="804" spans="1:6" x14ac:dyDescent="0.3">
      <c r="A804" s="332" t="s">
        <v>159</v>
      </c>
      <c r="B804" s="327"/>
      <c r="C804" s="328"/>
      <c r="D804" s="320"/>
      <c r="E804" s="320"/>
      <c r="F804" s="367"/>
    </row>
    <row r="805" spans="1:6" x14ac:dyDescent="0.3">
      <c r="A805" s="343" t="s">
        <v>196</v>
      </c>
      <c r="B805" s="344"/>
      <c r="C805" s="345"/>
      <c r="D805" s="346"/>
      <c r="E805" s="346"/>
      <c r="F805" s="368"/>
    </row>
    <row r="806" spans="1:6" x14ac:dyDescent="0.3">
      <c r="A806" s="343"/>
      <c r="B806" s="344"/>
      <c r="C806" s="345"/>
      <c r="D806" s="346"/>
      <c r="E806" s="346"/>
      <c r="F806" s="368"/>
    </row>
    <row r="807" spans="1:6" ht="15" thickBot="1" x14ac:dyDescent="0.35">
      <c r="A807" s="343"/>
      <c r="B807" s="344"/>
      <c r="C807" s="345"/>
      <c r="D807" s="346"/>
      <c r="E807" s="346"/>
      <c r="F807" s="368"/>
    </row>
    <row r="808" spans="1:6" ht="15" thickBot="1" x14ac:dyDescent="0.35">
      <c r="A808" s="336" t="s">
        <v>197</v>
      </c>
      <c r="B808" s="197"/>
      <c r="C808" s="197"/>
      <c r="D808" s="364"/>
      <c r="E808" s="365"/>
      <c r="F808" s="369"/>
    </row>
    <row r="809" spans="1:6" ht="15" thickBot="1" x14ac:dyDescent="0.35">
      <c r="A809" s="336" t="s">
        <v>198</v>
      </c>
      <c r="B809" s="197"/>
      <c r="C809" s="197"/>
      <c r="D809" s="364"/>
      <c r="E809" s="365"/>
      <c r="F809" s="369"/>
    </row>
    <row r="810" spans="1:6" x14ac:dyDescent="0.3">
      <c r="A810" s="361" t="s">
        <v>199</v>
      </c>
      <c r="B810" s="196"/>
      <c r="C810" s="362"/>
      <c r="D810" s="363"/>
      <c r="E810" s="363"/>
      <c r="F810" s="370"/>
    </row>
    <row r="811" spans="1:6" ht="15" thickBot="1" x14ac:dyDescent="0.35">
      <c r="A811" s="329"/>
      <c r="B811" s="330"/>
      <c r="C811" s="331"/>
      <c r="D811" s="321"/>
      <c r="E811" s="321"/>
      <c r="F811" s="321"/>
    </row>
    <row r="812" spans="1:6" ht="15" thickBot="1" x14ac:dyDescent="0.35"/>
    <row r="813" spans="1:6" ht="15" thickBot="1" x14ac:dyDescent="0.35">
      <c r="A813" s="591" t="s">
        <v>160</v>
      </c>
      <c r="B813" s="592"/>
      <c r="C813" s="592"/>
      <c r="D813" s="592"/>
      <c r="E813" s="593"/>
    </row>
    <row r="814" spans="1:6" ht="15" thickBot="1" x14ac:dyDescent="0.35">
      <c r="A814" s="591" t="s">
        <v>143</v>
      </c>
      <c r="B814" s="592"/>
      <c r="C814" s="593"/>
      <c r="D814" s="594" t="s">
        <v>126</v>
      </c>
      <c r="E814" s="594" t="s">
        <v>144</v>
      </c>
    </row>
    <row r="815" spans="1:6" x14ac:dyDescent="0.3">
      <c r="A815" s="332" t="s">
        <v>207</v>
      </c>
      <c r="B815" s="333"/>
      <c r="C815" s="334"/>
      <c r="D815" s="335"/>
      <c r="E815" s="335"/>
    </row>
    <row r="816" spans="1:6" ht="15" thickBot="1" x14ac:dyDescent="0.35">
      <c r="A816" s="270"/>
      <c r="B816" s="196"/>
      <c r="C816" s="196"/>
      <c r="D816" s="325"/>
      <c r="E816" s="325"/>
      <c r="F816" s="371"/>
    </row>
    <row r="817" spans="1:23" ht="15" thickBot="1" x14ac:dyDescent="0.35">
      <c r="A817" s="591" t="s">
        <v>161</v>
      </c>
      <c r="B817" s="592"/>
      <c r="C817" s="592"/>
      <c r="D817" s="592"/>
      <c r="E817" s="593"/>
    </row>
    <row r="818" spans="1:23" ht="15" thickBot="1" x14ac:dyDescent="0.35">
      <c r="A818" s="591" t="s">
        <v>143</v>
      </c>
      <c r="B818" s="592"/>
      <c r="C818" s="593"/>
      <c r="D818" s="594" t="s">
        <v>126</v>
      </c>
      <c r="E818" s="594" t="s">
        <v>144</v>
      </c>
      <c r="F818" s="594" t="s">
        <v>162</v>
      </c>
      <c r="G818" s="594" t="s">
        <v>164</v>
      </c>
    </row>
    <row r="819" spans="1:23" x14ac:dyDescent="0.3">
      <c r="A819" s="317" t="s">
        <v>213</v>
      </c>
      <c r="B819" s="318"/>
      <c r="C819" s="318"/>
      <c r="D819" s="373"/>
      <c r="E819" s="373"/>
      <c r="F819" s="374"/>
      <c r="G819" s="375"/>
    </row>
    <row r="820" spans="1:23" ht="15" thickBot="1" x14ac:dyDescent="0.35">
      <c r="A820" s="379" t="s">
        <v>163</v>
      </c>
      <c r="B820" s="195"/>
      <c r="C820" s="195"/>
      <c r="D820" s="380"/>
      <c r="E820" s="380"/>
      <c r="F820" s="381"/>
      <c r="G820" s="382"/>
    </row>
    <row r="821" spans="1:23" x14ac:dyDescent="0.3">
      <c r="A821" s="317" t="s">
        <v>200</v>
      </c>
      <c r="B821" s="318"/>
      <c r="C821" s="318"/>
      <c r="D821" s="373"/>
      <c r="E821" s="373"/>
      <c r="F821" s="383"/>
      <c r="G821" s="384"/>
    </row>
    <row r="822" spans="1:23" x14ac:dyDescent="0.3">
      <c r="A822" s="319" t="s">
        <v>213</v>
      </c>
      <c r="B822" s="184"/>
      <c r="C822" s="184"/>
      <c r="D822" s="376"/>
      <c r="E822" s="376"/>
      <c r="F822" s="274"/>
      <c r="G822" s="377"/>
    </row>
    <row r="823" spans="1:23" x14ac:dyDescent="0.3">
      <c r="A823" s="319" t="s">
        <v>163</v>
      </c>
      <c r="B823" s="184"/>
      <c r="C823" s="184"/>
      <c r="D823" s="376"/>
      <c r="E823" s="376"/>
      <c r="F823" s="274"/>
      <c r="G823" s="377"/>
    </row>
    <row r="824" spans="1:23" x14ac:dyDescent="0.3">
      <c r="A824" s="319" t="s">
        <v>201</v>
      </c>
      <c r="B824" s="184"/>
      <c r="C824" s="184"/>
      <c r="D824" s="376"/>
      <c r="E824" s="376"/>
      <c r="F824" s="274"/>
      <c r="G824" s="377"/>
    </row>
    <row r="825" spans="1:23" x14ac:dyDescent="0.3">
      <c r="A825" s="601" t="s">
        <v>202</v>
      </c>
      <c r="B825" s="602"/>
      <c r="C825" s="602"/>
      <c r="D825" s="603"/>
      <c r="E825" s="604"/>
      <c r="F825" s="605"/>
      <c r="G825" s="370"/>
    </row>
    <row r="826" spans="1:23" x14ac:dyDescent="0.3">
      <c r="A826" s="270"/>
      <c r="B826" s="196"/>
      <c r="C826" s="196"/>
      <c r="D826" s="404"/>
      <c r="E826" s="325"/>
      <c r="F826" s="405"/>
      <c r="G826" s="406"/>
      <c r="H826" s="548"/>
      <c r="I826" s="172"/>
      <c r="J826" s="172"/>
      <c r="K826" s="172"/>
      <c r="L826" s="172"/>
      <c r="M826" s="172"/>
      <c r="N826" s="172"/>
      <c r="O826" s="172"/>
    </row>
    <row r="827" spans="1:23" ht="15" thickBot="1" x14ac:dyDescent="0.35">
      <c r="A827" s="270"/>
      <c r="B827" s="196"/>
      <c r="C827" s="196"/>
      <c r="D827" s="404"/>
      <c r="E827" s="325"/>
      <c r="F827" s="405"/>
      <c r="G827" s="406"/>
      <c r="H827" s="548"/>
      <c r="I827" s="172"/>
      <c r="J827" s="172"/>
      <c r="K827" s="172"/>
      <c r="L827" s="172"/>
      <c r="M827" s="172"/>
      <c r="N827" s="172"/>
      <c r="O827" s="172"/>
    </row>
    <row r="828" spans="1:23" ht="26.4" thickBot="1" x14ac:dyDescent="0.55000000000000004">
      <c r="A828" s="492" t="str">
        <f>+Experiencia!B21</f>
        <v>007</v>
      </c>
      <c r="B828" s="416"/>
      <c r="C828" s="416"/>
      <c r="D828" s="416"/>
      <c r="E828" s="416"/>
      <c r="F828" s="416"/>
      <c r="G828" s="416"/>
      <c r="H828" s="553"/>
      <c r="I828" s="416"/>
      <c r="J828" s="416"/>
      <c r="K828" s="416"/>
      <c r="L828" s="416"/>
      <c r="M828" s="416"/>
      <c r="N828" s="416"/>
      <c r="O828" s="416"/>
      <c r="P828" s="417"/>
    </row>
    <row r="829" spans="1:23" s="163" customFormat="1" ht="15" thickBot="1" x14ac:dyDescent="0.35">
      <c r="A829" s="412" t="str">
        <f>+Experiencia!C21</f>
        <v xml:space="preserve">CONSORCIO FACEA UDENAR </v>
      </c>
      <c r="B829" s="402"/>
      <c r="C829" s="402"/>
      <c r="D829" s="402"/>
      <c r="E829" s="402"/>
      <c r="F829" s="402"/>
      <c r="G829" s="402"/>
      <c r="H829" s="546"/>
      <c r="I829" s="402"/>
      <c r="J829" s="402"/>
      <c r="K829" s="402"/>
      <c r="L829" s="402"/>
      <c r="M829" s="402"/>
      <c r="N829" s="402"/>
      <c r="O829" s="403"/>
      <c r="P829" s="170"/>
      <c r="U829" s="465"/>
      <c r="V829" s="465"/>
      <c r="W829" s="465"/>
    </row>
    <row r="830" spans="1:23" s="169" customFormat="1" ht="35.4" x14ac:dyDescent="0.3">
      <c r="A830" s="180" t="s">
        <v>2</v>
      </c>
      <c r="B830" s="182" t="s">
        <v>189</v>
      </c>
      <c r="C830" s="181" t="s">
        <v>35</v>
      </c>
      <c r="D830" s="182" t="s">
        <v>96</v>
      </c>
      <c r="E830" s="182" t="s">
        <v>165</v>
      </c>
      <c r="F830" s="182" t="s">
        <v>97</v>
      </c>
      <c r="G830" s="182" t="s">
        <v>5</v>
      </c>
      <c r="H830" s="536" t="s">
        <v>99</v>
      </c>
      <c r="I830" s="182" t="s">
        <v>203</v>
      </c>
      <c r="J830" s="182" t="s">
        <v>141</v>
      </c>
      <c r="K830" s="182" t="s">
        <v>224</v>
      </c>
      <c r="L830" s="182" t="s">
        <v>204</v>
      </c>
      <c r="M830" s="182" t="s">
        <v>140</v>
      </c>
      <c r="N830" s="182" t="s">
        <v>214</v>
      </c>
      <c r="O830" s="182" t="s">
        <v>100</v>
      </c>
      <c r="P830" s="182" t="s">
        <v>94</v>
      </c>
      <c r="Q830" s="171"/>
      <c r="U830" s="465"/>
      <c r="V830" s="465"/>
      <c r="W830" s="465"/>
    </row>
    <row r="831" spans="1:23" s="312" customFormat="1" ht="48.6" customHeight="1" x14ac:dyDescent="0.3">
      <c r="A831" s="305">
        <v>1</v>
      </c>
      <c r="B831" s="305">
        <v>198</v>
      </c>
      <c r="C831" s="305" t="s">
        <v>308</v>
      </c>
      <c r="D831" s="305" t="s">
        <v>309</v>
      </c>
      <c r="E831" s="305" t="s">
        <v>310</v>
      </c>
      <c r="F831" s="305" t="s">
        <v>311</v>
      </c>
      <c r="G831" s="305" t="s">
        <v>312</v>
      </c>
      <c r="H831" s="537">
        <v>599949839</v>
      </c>
      <c r="I831" s="313">
        <v>2014</v>
      </c>
      <c r="J831" s="306">
        <f>+H831/LOOKUP(I831,'TABLA SMMLV'!$B$2:$C$28)</f>
        <v>973.94454383116886</v>
      </c>
      <c r="K831" s="307">
        <v>1258</v>
      </c>
      <c r="L831" s="308">
        <v>0.4</v>
      </c>
      <c r="M831" s="308">
        <v>1</v>
      </c>
      <c r="N831" s="309">
        <f>+M831*L831*K831</f>
        <v>503.20000000000005</v>
      </c>
      <c r="O831" s="309">
        <f>+M831*L831*J831</f>
        <v>389.57781753246758</v>
      </c>
      <c r="P831" s="310"/>
      <c r="Q831" s="311"/>
      <c r="U831" s="470"/>
      <c r="V831" s="470"/>
      <c r="W831" s="470"/>
    </row>
    <row r="832" spans="1:23" s="312" customFormat="1" ht="54.6" customHeight="1" x14ac:dyDescent="0.3">
      <c r="A832" s="305">
        <v>2</v>
      </c>
      <c r="B832" s="305">
        <v>216</v>
      </c>
      <c r="C832" s="305">
        <v>2014001125</v>
      </c>
      <c r="D832" s="305" t="s">
        <v>316</v>
      </c>
      <c r="E832" s="305" t="s">
        <v>317</v>
      </c>
      <c r="F832" s="305" t="s">
        <v>314</v>
      </c>
      <c r="G832" s="305" t="s">
        <v>315</v>
      </c>
      <c r="H832" s="537">
        <v>513084342</v>
      </c>
      <c r="I832" s="313">
        <v>2015</v>
      </c>
      <c r="J832" s="306">
        <f>+H832/LOOKUP(I832,'TABLA SMMLV'!$B$2:$C$28)</f>
        <v>796.28205478389077</v>
      </c>
      <c r="K832" s="307">
        <v>426.16</v>
      </c>
      <c r="L832" s="308">
        <v>0.8</v>
      </c>
      <c r="M832" s="308">
        <v>1</v>
      </c>
      <c r="N832" s="309">
        <f>+M832*L832*K832</f>
        <v>340.92800000000005</v>
      </c>
      <c r="O832" s="309">
        <f>+M832*L832*J832</f>
        <v>637.02564382711262</v>
      </c>
      <c r="P832" s="310"/>
      <c r="Q832" s="311"/>
      <c r="U832" s="470"/>
      <c r="V832" s="470"/>
      <c r="W832" s="470"/>
    </row>
    <row r="833" spans="1:54" s="163" customFormat="1" ht="38.4" customHeight="1" x14ac:dyDescent="0.3">
      <c r="A833" s="183">
        <v>3</v>
      </c>
      <c r="B833" s="183">
        <v>221</v>
      </c>
      <c r="C833" s="183" t="s">
        <v>318</v>
      </c>
      <c r="D833" s="183" t="s">
        <v>319</v>
      </c>
      <c r="E833" s="183" t="s">
        <v>320</v>
      </c>
      <c r="F833" s="305" t="s">
        <v>321</v>
      </c>
      <c r="G833" s="186" t="s">
        <v>322</v>
      </c>
      <c r="H833" s="538">
        <v>7588713384</v>
      </c>
      <c r="I833" s="304">
        <v>2013</v>
      </c>
      <c r="J833" s="306">
        <f>+H833/LOOKUP(I833,'TABLA SMMLV'!$B$2:$C$28)</f>
        <v>12873.135511450382</v>
      </c>
      <c r="K833" s="305">
        <v>5143</v>
      </c>
      <c r="L833" s="308">
        <v>0.5</v>
      </c>
      <c r="M833" s="308">
        <v>1</v>
      </c>
      <c r="N833" s="309">
        <f>+M833*L833*K833</f>
        <v>2571.5</v>
      </c>
      <c r="O833" s="309">
        <f>+M833*L833*J833</f>
        <v>6436.5677557251911</v>
      </c>
      <c r="P833" s="360"/>
      <c r="Q833" s="315"/>
      <c r="R833" s="314"/>
      <c r="U833" s="465"/>
      <c r="V833" s="465"/>
      <c r="W833" s="465"/>
    </row>
    <row r="834" spans="1:54" s="312" customFormat="1" ht="45.6" customHeight="1" x14ac:dyDescent="0.3">
      <c r="A834" s="305">
        <v>4</v>
      </c>
      <c r="B834" s="183"/>
      <c r="C834" s="183"/>
      <c r="D834" s="183"/>
      <c r="E834" s="183"/>
      <c r="F834" s="305"/>
      <c r="G834" s="186"/>
      <c r="H834" s="538"/>
      <c r="I834" s="304"/>
      <c r="J834" s="306"/>
      <c r="K834" s="305"/>
      <c r="L834" s="308"/>
      <c r="M834" s="308"/>
      <c r="N834" s="309">
        <f>+M834*L834*K834</f>
        <v>0</v>
      </c>
      <c r="O834" s="309">
        <f>+M834*L834*J834</f>
        <v>0</v>
      </c>
      <c r="P834" s="310"/>
      <c r="Q834" s="311"/>
      <c r="U834" s="470"/>
      <c r="V834" s="470"/>
      <c r="W834" s="470"/>
    </row>
    <row r="835" spans="1:54" s="163" customFormat="1" x14ac:dyDescent="0.3">
      <c r="A835" s="183">
        <v>5</v>
      </c>
      <c r="B835" s="183"/>
      <c r="C835" s="183"/>
      <c r="D835" s="183"/>
      <c r="E835" s="183"/>
      <c r="F835" s="183"/>
      <c r="G835" s="186"/>
      <c r="H835" s="538"/>
      <c r="I835" s="304"/>
      <c r="J835" s="306"/>
      <c r="K835" s="186"/>
      <c r="L835" s="188"/>
      <c r="M835" s="188"/>
      <c r="N835" s="316">
        <v>0</v>
      </c>
      <c r="O835" s="309">
        <v>0</v>
      </c>
      <c r="P835" s="310"/>
      <c r="Q835" s="173"/>
      <c r="U835" s="465"/>
      <c r="V835" s="465"/>
      <c r="W835" s="465"/>
    </row>
    <row r="836" spans="1:54" s="163" customFormat="1" x14ac:dyDescent="0.3">
      <c r="A836" s="183"/>
      <c r="B836" s="183"/>
      <c r="C836" s="183"/>
      <c r="D836" s="183"/>
      <c r="E836" s="183"/>
      <c r="F836" s="183"/>
      <c r="G836" s="186"/>
      <c r="H836" s="538"/>
      <c r="I836" s="304"/>
      <c r="J836" s="186"/>
      <c r="K836" s="186"/>
      <c r="L836" s="188"/>
      <c r="M836" s="188"/>
      <c r="N836" s="188"/>
      <c r="O836" s="188"/>
      <c r="P836" s="185"/>
      <c r="Q836" s="173"/>
      <c r="U836" s="465"/>
      <c r="V836" s="465"/>
      <c r="W836" s="465"/>
    </row>
    <row r="837" spans="1:54" s="163" customFormat="1" ht="15" thickBot="1" x14ac:dyDescent="0.35">
      <c r="A837" s="183"/>
      <c r="B837" s="183"/>
      <c r="C837" s="183"/>
      <c r="D837" s="183"/>
      <c r="E837" s="183"/>
      <c r="F837" s="183"/>
      <c r="G837" s="186"/>
      <c r="H837" s="538"/>
      <c r="I837" s="187"/>
      <c r="J837" s="186"/>
      <c r="K837" s="186"/>
      <c r="L837" s="188"/>
      <c r="M837" s="188"/>
      <c r="N837" s="188"/>
      <c r="O837" s="188"/>
      <c r="P837" s="185"/>
      <c r="Q837" s="173"/>
      <c r="U837" s="465"/>
      <c r="V837" s="465"/>
      <c r="W837" s="465"/>
      <c r="AZ837" s="163">
        <v>14</v>
      </c>
    </row>
    <row r="838" spans="1:54" s="163" customFormat="1" ht="29.4" thickBot="1" x14ac:dyDescent="0.35">
      <c r="A838" s="189"/>
      <c r="B838" s="189"/>
      <c r="C838" s="189"/>
      <c r="D838" s="189"/>
      <c r="E838" s="189"/>
      <c r="F838" s="189"/>
      <c r="G838" s="476" t="s">
        <v>234</v>
      </c>
      <c r="H838" s="539"/>
      <c r="I838" s="190"/>
      <c r="J838" s="190"/>
      <c r="K838" s="190"/>
      <c r="L838" s="191"/>
      <c r="M838" s="191"/>
      <c r="N838" s="198">
        <f>SUM(N831:N837)</f>
        <v>3415.6280000000002</v>
      </c>
      <c r="O838" s="192"/>
      <c r="P838" s="193"/>
      <c r="Q838" s="173"/>
      <c r="U838" s="480" t="s">
        <v>250</v>
      </c>
      <c r="V838" s="465" t="s">
        <v>251</v>
      </c>
      <c r="W838" s="482" t="s">
        <v>252</v>
      </c>
      <c r="X838" s="480" t="s">
        <v>250</v>
      </c>
      <c r="Y838" s="465" t="s">
        <v>251</v>
      </c>
      <c r="Z838" s="482" t="s">
        <v>252</v>
      </c>
      <c r="AB838" s="480" t="s">
        <v>250</v>
      </c>
      <c r="AC838" s="465" t="s">
        <v>251</v>
      </c>
      <c r="AD838" s="482" t="s">
        <v>252</v>
      </c>
      <c r="AF838" s="480" t="s">
        <v>250</v>
      </c>
      <c r="AG838" s="465" t="s">
        <v>251</v>
      </c>
      <c r="AH838" s="482" t="s">
        <v>252</v>
      </c>
      <c r="AJ838" s="480" t="s">
        <v>250</v>
      </c>
      <c r="AK838" s="465" t="s">
        <v>251</v>
      </c>
      <c r="AL838" s="482" t="s">
        <v>252</v>
      </c>
      <c r="AN838" s="480" t="s">
        <v>250</v>
      </c>
      <c r="AO838" s="465" t="s">
        <v>251</v>
      </c>
      <c r="AP838" s="482" t="s">
        <v>252</v>
      </c>
      <c r="AR838" s="480" t="s">
        <v>250</v>
      </c>
      <c r="AS838" s="465" t="s">
        <v>251</v>
      </c>
      <c r="AT838" s="482" t="s">
        <v>252</v>
      </c>
      <c r="AV838" s="480" t="s">
        <v>250</v>
      </c>
      <c r="AW838" s="465" t="s">
        <v>251</v>
      </c>
      <c r="AX838" s="482" t="s">
        <v>252</v>
      </c>
      <c r="AZ838" s="480" t="s">
        <v>250</v>
      </c>
      <c r="BA838" s="465" t="s">
        <v>251</v>
      </c>
      <c r="BB838" s="482" t="s">
        <v>252</v>
      </c>
    </row>
    <row r="839" spans="1:54" s="163" customFormat="1" ht="15.75" customHeight="1" thickBot="1" x14ac:dyDescent="0.35">
      <c r="A839" s="189"/>
      <c r="B839" s="189"/>
      <c r="C839" s="189"/>
      <c r="D839" s="189"/>
      <c r="E839" s="189"/>
      <c r="F839" s="189"/>
      <c r="G839" s="476" t="s">
        <v>235</v>
      </c>
      <c r="H839" s="539"/>
      <c r="I839" s="190"/>
      <c r="J839" s="190"/>
      <c r="K839" s="190"/>
      <c r="L839" s="190"/>
      <c r="M839" s="190"/>
      <c r="N839" s="198"/>
      <c r="O839" s="194">
        <f>SUM(O831:O838)</f>
        <v>7463.1712170847713</v>
      </c>
      <c r="P839" s="189"/>
      <c r="Q839" s="173"/>
      <c r="U839" s="474">
        <v>40070</v>
      </c>
      <c r="V839" s="474">
        <v>40071</v>
      </c>
      <c r="W839" s="475">
        <f>+((V839-U839)+1)/30</f>
        <v>6.6666666666666666E-2</v>
      </c>
      <c r="X839" s="474">
        <v>40217</v>
      </c>
      <c r="Y839" s="474">
        <v>40218</v>
      </c>
      <c r="Z839" s="475">
        <f>+((Y839-X839))/30</f>
        <v>3.3333333333333333E-2</v>
      </c>
      <c r="AB839" s="474">
        <v>38824</v>
      </c>
      <c r="AC839" s="474">
        <v>38968</v>
      </c>
      <c r="AD839" s="475">
        <f>+((AC839-AB839)+1)/30</f>
        <v>4.833333333333333</v>
      </c>
      <c r="AF839" s="474">
        <v>40301</v>
      </c>
      <c r="AG839" s="474">
        <v>40309</v>
      </c>
      <c r="AH839" s="475">
        <f>+((AG839-AF839)+1)/30</f>
        <v>0.3</v>
      </c>
      <c r="AJ839" s="474">
        <v>40859</v>
      </c>
      <c r="AK839" s="474">
        <v>40860</v>
      </c>
      <c r="AL839" s="475">
        <f>+((AK839-AJ839)+0)/30</f>
        <v>3.3333333333333333E-2</v>
      </c>
      <c r="AN839" s="474">
        <v>42664</v>
      </c>
      <c r="AO839" s="474">
        <v>42714</v>
      </c>
      <c r="AP839" s="475">
        <f>+((AO839-AN839)+1)/30</f>
        <v>1.7</v>
      </c>
      <c r="AR839" s="474">
        <v>42132</v>
      </c>
      <c r="AS839" s="474">
        <v>42181</v>
      </c>
      <c r="AT839" s="475">
        <f>+((AS839-AR839)+1)/30</f>
        <v>1.6666666666666667</v>
      </c>
      <c r="AV839" s="474">
        <v>39762</v>
      </c>
      <c r="AW839" s="474">
        <v>39806</v>
      </c>
      <c r="AX839" s="475">
        <f>+((AW839-AV839)+1)/30</f>
        <v>1.5</v>
      </c>
      <c r="AZ839" s="474">
        <v>38873</v>
      </c>
      <c r="BA839" s="474">
        <v>38874</v>
      </c>
      <c r="BB839" s="475">
        <f>+((BA839-AZ839)+1)/30</f>
        <v>6.6666666666666666E-2</v>
      </c>
    </row>
    <row r="840" spans="1:54" ht="15" thickBot="1" x14ac:dyDescent="0.35">
      <c r="U840" s="464">
        <v>40126</v>
      </c>
      <c r="V840" s="464">
        <v>40365</v>
      </c>
      <c r="W840" s="475">
        <f>+((V840-U840)+1)/30</f>
        <v>8</v>
      </c>
      <c r="X840" s="485">
        <v>40322</v>
      </c>
      <c r="Y840" s="485">
        <v>40588</v>
      </c>
      <c r="Z840" s="475">
        <f>+((Y840-X840)+1)/30</f>
        <v>8.9</v>
      </c>
      <c r="AB840" s="485"/>
      <c r="AC840" s="485"/>
      <c r="AD840" s="475"/>
      <c r="AF840" s="485">
        <v>40365</v>
      </c>
      <c r="AG840" s="485">
        <v>40509</v>
      </c>
      <c r="AH840" s="475">
        <f>+((AG840-AF840)+1)/30</f>
        <v>4.833333333333333</v>
      </c>
      <c r="AJ840" s="485">
        <v>40935</v>
      </c>
      <c r="AK840" s="485">
        <v>40948</v>
      </c>
      <c r="AL840" s="475">
        <f>+((AK840-AJ840)+1)/30</f>
        <v>0.46666666666666667</v>
      </c>
      <c r="AN840" s="485">
        <v>42808</v>
      </c>
      <c r="AO840" s="485">
        <v>42818</v>
      </c>
      <c r="AP840" s="475">
        <f>+((AO840-AN840)+1)/30</f>
        <v>0.36666666666666664</v>
      </c>
      <c r="AR840" s="485">
        <v>42191</v>
      </c>
      <c r="AS840" s="485">
        <v>42281</v>
      </c>
      <c r="AT840" s="475">
        <f>+((AS840-AR840)+1)/30</f>
        <v>3.0333333333333332</v>
      </c>
      <c r="AV840" s="485"/>
      <c r="AW840" s="485"/>
      <c r="AX840" s="475">
        <f>+((AW840-AV840)+1)/30</f>
        <v>3.3333333333333333E-2</v>
      </c>
      <c r="AZ840" s="485">
        <v>38932</v>
      </c>
      <c r="BA840" s="485">
        <v>38940</v>
      </c>
      <c r="BB840" s="475">
        <f>+((BA840-AZ840)+1)/30</f>
        <v>0.3</v>
      </c>
    </row>
    <row r="841" spans="1:54" s="312" customFormat="1" ht="36.6" thickBot="1" x14ac:dyDescent="0.35">
      <c r="A841" s="517" t="s">
        <v>323</v>
      </c>
      <c r="B841" s="518"/>
      <c r="C841" s="518"/>
      <c r="D841" s="518"/>
      <c r="E841" s="519"/>
      <c r="F841" s="523" t="s">
        <v>366</v>
      </c>
      <c r="G841" s="520"/>
      <c r="H841" s="554"/>
      <c r="I841" s="521"/>
      <c r="J841" s="521"/>
      <c r="K841" s="521"/>
      <c r="L841" s="521"/>
      <c r="M841" s="521"/>
      <c r="N841" s="521"/>
      <c r="O841" s="521"/>
      <c r="P841" s="311"/>
      <c r="U841" s="471"/>
      <c r="V841" s="471"/>
      <c r="W841" s="475"/>
      <c r="X841" s="522">
        <v>40640</v>
      </c>
      <c r="Y841" s="522">
        <v>40684</v>
      </c>
      <c r="Z841" s="475">
        <f>+((Y841-X841)+1)/30</f>
        <v>1.5</v>
      </c>
      <c r="AB841" s="522"/>
      <c r="AC841" s="522"/>
      <c r="AD841" s="475"/>
      <c r="AF841" s="522"/>
      <c r="AG841" s="522"/>
      <c r="AH841" s="475"/>
      <c r="AJ841" s="522">
        <v>41039</v>
      </c>
      <c r="AK841" s="522">
        <v>41130</v>
      </c>
      <c r="AL841" s="475">
        <f t="shared" ref="AL841:AL842" si="14">+((AK841-AJ841)+1)/30</f>
        <v>3.0666666666666669</v>
      </c>
      <c r="AN841" s="522"/>
      <c r="AO841" s="522"/>
      <c r="AP841" s="475">
        <f t="shared" ref="AP841:AP842" si="15">+((AO841-AN841)+1)/30</f>
        <v>3.3333333333333333E-2</v>
      </c>
      <c r="AR841" s="522"/>
      <c r="AS841" s="522"/>
      <c r="AT841" s="475">
        <f t="shared" ref="AT841:AT842" si="16">+((AS841-AR841)+1)/30</f>
        <v>3.3333333333333333E-2</v>
      </c>
      <c r="AV841" s="522"/>
      <c r="AW841" s="522"/>
      <c r="AX841" s="475">
        <f t="shared" ref="AX841:AX842" si="17">+((AW841-AV841)+1)/30</f>
        <v>3.3333333333333333E-2</v>
      </c>
      <c r="AZ841" s="522">
        <v>38988</v>
      </c>
      <c r="BA841" s="522">
        <v>39340</v>
      </c>
      <c r="BB841" s="475">
        <f t="shared" ref="BB841:BB842" si="18">+((BA841-AZ841)+1)/30</f>
        <v>11.766666666666667</v>
      </c>
    </row>
    <row r="842" spans="1:54" s="163" customFormat="1" ht="15" thickBot="1" x14ac:dyDescent="0.35">
      <c r="A842" s="418" t="s">
        <v>143</v>
      </c>
      <c r="B842" s="419"/>
      <c r="C842" s="420"/>
      <c r="D842" s="421" t="s">
        <v>126</v>
      </c>
      <c r="E842" s="421" t="s">
        <v>144</v>
      </c>
      <c r="F842" s="268"/>
      <c r="G842" s="269"/>
      <c r="H842" s="540"/>
      <c r="I842" s="196"/>
      <c r="J842" s="196"/>
      <c r="K842" s="196"/>
      <c r="L842" s="196"/>
      <c r="M842" s="196"/>
      <c r="N842" s="196"/>
      <c r="O842" s="196"/>
      <c r="P842" s="173"/>
      <c r="U842" s="465"/>
      <c r="V842" s="483" t="s">
        <v>292</v>
      </c>
      <c r="W842" s="481">
        <f>SUM(W839:W841)</f>
        <v>8.0666666666666664</v>
      </c>
      <c r="Y842" s="483" t="s">
        <v>292</v>
      </c>
      <c r="Z842" s="481">
        <f>SUM(Z839:Z841)</f>
        <v>10.433333333333334</v>
      </c>
      <c r="AC842" s="483" t="s">
        <v>292</v>
      </c>
      <c r="AD842" s="481">
        <f>SUM(AD839:AD841)</f>
        <v>4.833333333333333</v>
      </c>
      <c r="AG842" s="483" t="s">
        <v>292</v>
      </c>
      <c r="AH842" s="481">
        <f>SUM(AH839:AH841)</f>
        <v>5.1333333333333329</v>
      </c>
      <c r="AJ842" s="509">
        <v>41236</v>
      </c>
      <c r="AK842" s="509">
        <v>41250</v>
      </c>
      <c r="AL842" s="475">
        <f t="shared" si="14"/>
        <v>0.5</v>
      </c>
      <c r="AN842" s="509"/>
      <c r="AO842" s="509"/>
      <c r="AP842" s="475">
        <f t="shared" si="15"/>
        <v>3.3333333333333333E-2</v>
      </c>
      <c r="AR842" s="509"/>
      <c r="AS842" s="509"/>
      <c r="AT842" s="475">
        <f t="shared" si="16"/>
        <v>3.3333333333333333E-2</v>
      </c>
      <c r="AV842" s="509"/>
      <c r="AW842" s="509"/>
      <c r="AX842" s="475">
        <f t="shared" si="17"/>
        <v>3.3333333333333333E-2</v>
      </c>
      <c r="AZ842" s="509"/>
      <c r="BA842" s="509"/>
      <c r="BB842" s="475">
        <f t="shared" si="18"/>
        <v>3.3333333333333333E-2</v>
      </c>
    </row>
    <row r="843" spans="1:54" s="163" customFormat="1" x14ac:dyDescent="0.3">
      <c r="A843" s="332" t="s">
        <v>187</v>
      </c>
      <c r="B843" s="333"/>
      <c r="C843" s="334"/>
      <c r="D843" s="335" t="s">
        <v>90</v>
      </c>
      <c r="E843" s="335">
        <v>234</v>
      </c>
      <c r="F843" s="268"/>
      <c r="G843" s="269"/>
      <c r="H843" s="540"/>
      <c r="I843" s="196"/>
      <c r="J843" s="196"/>
      <c r="K843" s="196"/>
      <c r="L843" s="196"/>
      <c r="M843" s="196"/>
      <c r="N843" s="196"/>
      <c r="O843" s="196"/>
      <c r="P843" s="173"/>
      <c r="U843" s="465"/>
      <c r="V843" s="465"/>
      <c r="W843" s="465"/>
      <c r="AK843" s="483" t="s">
        <v>292</v>
      </c>
      <c r="AL843" s="481">
        <f>SUM(AL839:AL842)</f>
        <v>4.0666666666666664</v>
      </c>
      <c r="AO843" s="483" t="s">
        <v>292</v>
      </c>
      <c r="AP843" s="481">
        <f>SUM(AP839:AP842)</f>
        <v>2.1333333333333329</v>
      </c>
      <c r="AS843" s="483" t="s">
        <v>292</v>
      </c>
      <c r="AT843" s="481">
        <f>SUM(AT839:AT842)</f>
        <v>4.7666666666666666</v>
      </c>
      <c r="AW843" s="483" t="s">
        <v>292</v>
      </c>
      <c r="AX843" s="481">
        <f>SUM(AX839:AX842)</f>
        <v>1.6000000000000003</v>
      </c>
      <c r="BA843" s="483" t="s">
        <v>292</v>
      </c>
      <c r="BB843" s="481">
        <f>SUM(BB839:BB842)</f>
        <v>12.166666666666668</v>
      </c>
    </row>
    <row r="844" spans="1:54" s="163" customFormat="1" x14ac:dyDescent="0.3">
      <c r="A844" s="326" t="s">
        <v>188</v>
      </c>
      <c r="B844" s="327"/>
      <c r="C844" s="328"/>
      <c r="D844" s="320" t="s">
        <v>90</v>
      </c>
      <c r="E844" s="320">
        <v>235</v>
      </c>
      <c r="F844" s="268"/>
      <c r="G844" s="269"/>
      <c r="H844" s="540"/>
      <c r="I844" s="196"/>
      <c r="J844" s="196"/>
      <c r="K844" s="196"/>
      <c r="L844" s="196"/>
      <c r="M844" s="196"/>
      <c r="N844" s="196"/>
      <c r="O844" s="196"/>
      <c r="P844" s="173"/>
      <c r="U844" s="464">
        <v>40134</v>
      </c>
      <c r="V844" s="464">
        <v>40226</v>
      </c>
      <c r="W844" s="465"/>
    </row>
    <row r="845" spans="1:54" s="163" customFormat="1" ht="15" thickBot="1" x14ac:dyDescent="0.35">
      <c r="A845" s="329" t="s">
        <v>142</v>
      </c>
      <c r="B845" s="330"/>
      <c r="C845" s="331"/>
      <c r="D845" s="321" t="s">
        <v>90</v>
      </c>
      <c r="E845" s="321">
        <v>236</v>
      </c>
      <c r="F845" s="268"/>
      <c r="G845" s="269"/>
      <c r="H845" s="540"/>
      <c r="I845" s="196"/>
      <c r="J845" s="196"/>
      <c r="K845" s="196"/>
      <c r="L845" s="196"/>
      <c r="M845" s="196"/>
      <c r="N845" s="196"/>
      <c r="O845" s="196"/>
      <c r="P845" s="173"/>
      <c r="U845" s="465"/>
      <c r="V845" s="465"/>
      <c r="W845" s="465"/>
    </row>
    <row r="846" spans="1:54" s="163" customFormat="1" x14ac:dyDescent="0.3">
      <c r="A846" s="322"/>
      <c r="B846" s="323"/>
      <c r="C846" s="324"/>
      <c r="D846" s="325"/>
      <c r="E846" s="325"/>
      <c r="F846" s="268"/>
      <c r="G846" s="269"/>
      <c r="H846" s="540"/>
      <c r="I846" s="196"/>
      <c r="J846" s="196"/>
      <c r="K846" s="196"/>
      <c r="L846" s="196"/>
      <c r="M846" s="196"/>
      <c r="N846" s="196"/>
      <c r="O846" s="196"/>
      <c r="P846" s="173"/>
      <c r="U846" s="464">
        <v>40301</v>
      </c>
      <c r="V846" s="464">
        <v>40309</v>
      </c>
      <c r="W846" s="465"/>
    </row>
    <row r="847" spans="1:54" s="163" customFormat="1" ht="46.8" x14ac:dyDescent="0.3">
      <c r="A847" s="422" t="s">
        <v>206</v>
      </c>
      <c r="B847" s="422" t="s">
        <v>35</v>
      </c>
      <c r="C847" s="422" t="s">
        <v>349</v>
      </c>
      <c r="D847" s="422" t="s">
        <v>207</v>
      </c>
      <c r="E847" s="422" t="s">
        <v>241</v>
      </c>
      <c r="F847" s="422" t="s">
        <v>242</v>
      </c>
      <c r="G847" s="422" t="s">
        <v>243</v>
      </c>
      <c r="H847" s="555" t="s">
        <v>244</v>
      </c>
      <c r="I847" s="423" t="s">
        <v>5</v>
      </c>
      <c r="J847" s="423" t="s">
        <v>145</v>
      </c>
      <c r="K847" s="423" t="s">
        <v>190</v>
      </c>
      <c r="L847" s="423" t="s">
        <v>147</v>
      </c>
      <c r="M847" s="423" t="s">
        <v>129</v>
      </c>
      <c r="N847" s="423" t="s">
        <v>245</v>
      </c>
      <c r="O847" s="423" t="s">
        <v>208</v>
      </c>
      <c r="P847" s="423" t="s">
        <v>249</v>
      </c>
      <c r="Q847" s="423" t="s">
        <v>148</v>
      </c>
      <c r="R847" s="423" t="s">
        <v>192</v>
      </c>
      <c r="S847" s="423"/>
      <c r="T847" s="173"/>
      <c r="U847" s="464">
        <v>40365</v>
      </c>
      <c r="V847" s="464">
        <v>40509</v>
      </c>
      <c r="X847" s="465"/>
    </row>
    <row r="848" spans="1:54" s="312" customFormat="1" ht="100.8" x14ac:dyDescent="0.3">
      <c r="A848" s="510">
        <v>1</v>
      </c>
      <c r="B848" s="338" t="s">
        <v>324</v>
      </c>
      <c r="C848" s="338">
        <v>237</v>
      </c>
      <c r="D848" s="338" t="s">
        <v>90</v>
      </c>
      <c r="E848" s="338" t="s">
        <v>325</v>
      </c>
      <c r="F848" s="338" t="s">
        <v>98</v>
      </c>
      <c r="G848" s="338" t="s">
        <v>326</v>
      </c>
      <c r="H848" s="542" t="s">
        <v>327</v>
      </c>
      <c r="I848" s="339" t="s">
        <v>328</v>
      </c>
      <c r="J848" s="339">
        <v>40070</v>
      </c>
      <c r="K848" s="339">
        <v>40365</v>
      </c>
      <c r="L848" s="391">
        <f t="shared" ref="L848:L849" si="19">+(K848-J848)/30</f>
        <v>9.8333333333333339</v>
      </c>
      <c r="M848" s="338">
        <v>6</v>
      </c>
      <c r="N848" s="338">
        <v>239</v>
      </c>
      <c r="O848" s="338" t="s">
        <v>98</v>
      </c>
      <c r="P848" s="338">
        <v>243</v>
      </c>
      <c r="Q848" s="338">
        <v>6</v>
      </c>
      <c r="R848" s="338"/>
      <c r="S848" s="311"/>
      <c r="U848" s="471"/>
      <c r="V848" s="471"/>
      <c r="W848" s="470"/>
      <c r="X848" s="340"/>
      <c r="Y848" s="340"/>
      <c r="Z848" s="340"/>
    </row>
    <row r="849" spans="1:48" s="312" customFormat="1" ht="86.4" x14ac:dyDescent="0.3">
      <c r="A849" s="510">
        <v>2</v>
      </c>
      <c r="B849" s="338" t="s">
        <v>329</v>
      </c>
      <c r="C849" s="338">
        <v>247</v>
      </c>
      <c r="D849" s="338" t="s">
        <v>90</v>
      </c>
      <c r="E849" s="338" t="s">
        <v>325</v>
      </c>
      <c r="F849" s="338" t="s">
        <v>98</v>
      </c>
      <c r="G849" s="338" t="s">
        <v>330</v>
      </c>
      <c r="H849" s="542" t="s">
        <v>331</v>
      </c>
      <c r="I849" s="339" t="s">
        <v>332</v>
      </c>
      <c r="J849" s="339">
        <v>40217</v>
      </c>
      <c r="K849" s="339">
        <v>40654</v>
      </c>
      <c r="L849" s="391">
        <f t="shared" si="19"/>
        <v>14.566666666666666</v>
      </c>
      <c r="M849" s="338">
        <v>5</v>
      </c>
      <c r="N849" s="338">
        <v>249</v>
      </c>
      <c r="O849" s="338" t="s">
        <v>98</v>
      </c>
      <c r="P849" s="338">
        <v>254</v>
      </c>
      <c r="Q849" s="338">
        <v>5</v>
      </c>
      <c r="R849" s="338"/>
      <c r="S849" s="311"/>
      <c r="U849" s="471"/>
      <c r="V849" s="471"/>
      <c r="W849" s="470"/>
      <c r="X849" s="340"/>
      <c r="Y849" s="508"/>
      <c r="Z849" s="340"/>
      <c r="AU849" s="312">
        <v>41856</v>
      </c>
      <c r="AV849" s="312">
        <f>+AU849-AT849</f>
        <v>41856</v>
      </c>
    </row>
    <row r="850" spans="1:48" s="312" customFormat="1" ht="72" x14ac:dyDescent="0.3">
      <c r="A850" s="338">
        <v>3</v>
      </c>
      <c r="B850" s="338" t="s">
        <v>324</v>
      </c>
      <c r="C850" s="338">
        <v>257</v>
      </c>
      <c r="D850" s="338" t="s">
        <v>90</v>
      </c>
      <c r="E850" s="338" t="s">
        <v>325</v>
      </c>
      <c r="F850" s="338" t="s">
        <v>98</v>
      </c>
      <c r="G850" s="338" t="s">
        <v>333</v>
      </c>
      <c r="H850" s="542" t="s">
        <v>334</v>
      </c>
      <c r="I850" s="339" t="s">
        <v>335</v>
      </c>
      <c r="J850" s="339">
        <v>38824</v>
      </c>
      <c r="K850" s="339">
        <v>38968</v>
      </c>
      <c r="L850" s="391">
        <f>+((K850-J850)+1)/30</f>
        <v>4.833333333333333</v>
      </c>
      <c r="M850" s="478">
        <v>5</v>
      </c>
      <c r="N850" s="338">
        <v>259</v>
      </c>
      <c r="O850" s="338" t="s">
        <v>98</v>
      </c>
      <c r="P850" s="338">
        <v>267</v>
      </c>
      <c r="Q850" s="391">
        <v>4.83</v>
      </c>
      <c r="R850" s="338"/>
      <c r="S850" s="311"/>
      <c r="U850" s="471"/>
      <c r="V850" s="471"/>
      <c r="W850" s="470"/>
      <c r="X850" s="340"/>
      <c r="Y850" s="340"/>
      <c r="Z850" s="340"/>
      <c r="AV850" s="312">
        <f t="shared" ref="AV850" si="20">+AU850-AT850</f>
        <v>0</v>
      </c>
    </row>
    <row r="851" spans="1:48" s="312" customFormat="1" ht="57.6" x14ac:dyDescent="0.3">
      <c r="A851" s="510">
        <v>4</v>
      </c>
      <c r="B851" s="338" t="s">
        <v>324</v>
      </c>
      <c r="C851" s="338">
        <v>264</v>
      </c>
      <c r="D851" s="338" t="s">
        <v>90</v>
      </c>
      <c r="E851" s="338" t="s">
        <v>325</v>
      </c>
      <c r="F851" s="338" t="s">
        <v>98</v>
      </c>
      <c r="G851" s="338" t="s">
        <v>336</v>
      </c>
      <c r="H851" s="542" t="s">
        <v>337</v>
      </c>
      <c r="I851" s="339" t="s">
        <v>338</v>
      </c>
      <c r="J851" s="339">
        <v>40301</v>
      </c>
      <c r="K851" s="339">
        <v>40518</v>
      </c>
      <c r="L851" s="391">
        <f t="shared" ref="L851:L853" si="21">+((K851-J851)+1)/30</f>
        <v>7.2666666666666666</v>
      </c>
      <c r="M851" s="338">
        <v>5</v>
      </c>
      <c r="N851" s="338">
        <v>270</v>
      </c>
      <c r="O851" s="338" t="s">
        <v>98</v>
      </c>
      <c r="P851" s="338">
        <v>275</v>
      </c>
      <c r="Q851" s="338">
        <v>5</v>
      </c>
      <c r="R851" s="338"/>
      <c r="S851" s="311"/>
      <c r="U851" s="471"/>
      <c r="V851" s="471"/>
      <c r="W851" s="470"/>
      <c r="X851" s="340"/>
      <c r="Y851" s="340"/>
      <c r="Z851" s="340"/>
    </row>
    <row r="852" spans="1:48" s="312" customFormat="1" ht="100.8" x14ac:dyDescent="0.3">
      <c r="A852" s="338">
        <v>5</v>
      </c>
      <c r="B852" s="338" t="s">
        <v>339</v>
      </c>
      <c r="C852" s="338">
        <v>281</v>
      </c>
      <c r="D852" s="338" t="s">
        <v>90</v>
      </c>
      <c r="E852" s="338" t="s">
        <v>325</v>
      </c>
      <c r="F852" s="338" t="s">
        <v>98</v>
      </c>
      <c r="G852" s="338" t="s">
        <v>340</v>
      </c>
      <c r="H852" s="542" t="s">
        <v>331</v>
      </c>
      <c r="I852" s="339" t="s">
        <v>341</v>
      </c>
      <c r="J852" s="339">
        <v>40859</v>
      </c>
      <c r="K852" s="339">
        <v>41250</v>
      </c>
      <c r="L852" s="391">
        <f t="shared" si="21"/>
        <v>13.066666666666666</v>
      </c>
      <c r="M852" s="338">
        <v>4</v>
      </c>
      <c r="N852" s="338">
        <v>285</v>
      </c>
      <c r="O852" s="338" t="s">
        <v>98</v>
      </c>
      <c r="P852" s="338">
        <v>294</v>
      </c>
      <c r="Q852" s="338">
        <v>4</v>
      </c>
      <c r="R852" s="338"/>
      <c r="S852" s="311"/>
      <c r="U852" s="471"/>
      <c r="V852" s="471"/>
      <c r="W852" s="470"/>
      <c r="X852" s="340"/>
      <c r="Y852" s="340"/>
      <c r="Z852" s="340"/>
    </row>
    <row r="853" spans="1:48" s="312" customFormat="1" ht="115.2" x14ac:dyDescent="0.3">
      <c r="A853" s="338">
        <v>6</v>
      </c>
      <c r="B853" s="338" t="s">
        <v>342</v>
      </c>
      <c r="C853" s="338">
        <v>297</v>
      </c>
      <c r="D853" s="338" t="s">
        <v>90</v>
      </c>
      <c r="E853" s="338" t="s">
        <v>98</v>
      </c>
      <c r="F853" s="338" t="s">
        <v>325</v>
      </c>
      <c r="G853" s="338" t="s">
        <v>347</v>
      </c>
      <c r="H853" s="542" t="s">
        <v>313</v>
      </c>
      <c r="I853" s="339" t="s">
        <v>343</v>
      </c>
      <c r="J853" s="339">
        <v>42664</v>
      </c>
      <c r="K853" s="339">
        <v>42818</v>
      </c>
      <c r="L853" s="391">
        <f t="shared" si="21"/>
        <v>5.166666666666667</v>
      </c>
      <c r="M853" s="338">
        <v>2</v>
      </c>
      <c r="N853" s="338">
        <v>304</v>
      </c>
      <c r="O853" s="338" t="s">
        <v>98</v>
      </c>
      <c r="P853" s="338">
        <v>302</v>
      </c>
      <c r="Q853" s="510">
        <v>2</v>
      </c>
      <c r="R853" s="338"/>
      <c r="S853" s="311"/>
      <c r="U853" s="471"/>
      <c r="V853" s="471"/>
      <c r="W853" s="470"/>
      <c r="X853" s="340"/>
      <c r="Y853" s="340"/>
      <c r="Z853" s="340"/>
      <c r="AV853" s="312">
        <f>SUM(AV849:AV852)+COUNT(AV849:AV852)</f>
        <v>41858</v>
      </c>
    </row>
    <row r="854" spans="1:48" s="312" customFormat="1" ht="115.2" x14ac:dyDescent="0.3">
      <c r="A854" s="338">
        <v>7</v>
      </c>
      <c r="B854" s="338">
        <v>2014001125</v>
      </c>
      <c r="C854" s="338">
        <v>327</v>
      </c>
      <c r="D854" s="338" t="s">
        <v>90</v>
      </c>
      <c r="E854" s="338" t="s">
        <v>98</v>
      </c>
      <c r="F854" s="338" t="s">
        <v>325</v>
      </c>
      <c r="G854" s="338" t="s">
        <v>348</v>
      </c>
      <c r="H854" s="542" t="s">
        <v>316</v>
      </c>
      <c r="I854" s="339" t="s">
        <v>344</v>
      </c>
      <c r="J854" s="339">
        <v>42132</v>
      </c>
      <c r="K854" s="339">
        <v>42281</v>
      </c>
      <c r="L854" s="391">
        <f t="shared" ref="L854:L862" si="22">+((K854-J854)+1)/30</f>
        <v>5</v>
      </c>
      <c r="M854" s="338">
        <v>4</v>
      </c>
      <c r="N854" s="338">
        <v>321</v>
      </c>
      <c r="O854" s="338" t="s">
        <v>98</v>
      </c>
      <c r="P854" s="338">
        <v>316</v>
      </c>
      <c r="Q854" s="510">
        <v>4</v>
      </c>
      <c r="R854" s="338"/>
      <c r="S854" s="311"/>
      <c r="U854" s="471"/>
      <c r="V854" s="471"/>
      <c r="W854" s="470"/>
      <c r="X854" s="340"/>
      <c r="Y854" s="340"/>
      <c r="Z854" s="340"/>
      <c r="AV854" s="312">
        <f>+AV853/30</f>
        <v>1395.2666666666667</v>
      </c>
    </row>
    <row r="855" spans="1:48" s="312" customFormat="1" ht="57.6" x14ac:dyDescent="0.3">
      <c r="A855" s="338">
        <v>8</v>
      </c>
      <c r="B855" s="338" t="s">
        <v>324</v>
      </c>
      <c r="C855" s="338">
        <v>328</v>
      </c>
      <c r="D855" s="338" t="s">
        <v>90</v>
      </c>
      <c r="E855" s="338" t="s">
        <v>98</v>
      </c>
      <c r="F855" s="338" t="s">
        <v>325</v>
      </c>
      <c r="G855" s="338" t="s">
        <v>340</v>
      </c>
      <c r="H855" s="542" t="s">
        <v>345</v>
      </c>
      <c r="I855" s="339" t="s">
        <v>346</v>
      </c>
      <c r="J855" s="339">
        <v>39762</v>
      </c>
      <c r="K855" s="339">
        <v>39806</v>
      </c>
      <c r="L855" s="391">
        <f t="shared" si="22"/>
        <v>1.5</v>
      </c>
      <c r="M855" s="338">
        <v>1.5</v>
      </c>
      <c r="N855" s="338">
        <v>331</v>
      </c>
      <c r="O855" s="338" t="s">
        <v>98</v>
      </c>
      <c r="P855" s="338">
        <v>329</v>
      </c>
      <c r="Q855" s="510">
        <v>1.5</v>
      </c>
      <c r="R855" s="338"/>
      <c r="S855" s="311"/>
      <c r="U855" s="471"/>
      <c r="V855" s="471"/>
      <c r="W855" s="470"/>
      <c r="X855" s="340"/>
      <c r="Y855" s="340"/>
      <c r="Z855" s="340"/>
    </row>
    <row r="856" spans="1:48" s="312" customFormat="1" ht="86.4" x14ac:dyDescent="0.3">
      <c r="A856" s="338">
        <v>9</v>
      </c>
      <c r="B856" s="338" t="s">
        <v>324</v>
      </c>
      <c r="C856" s="338">
        <v>339</v>
      </c>
      <c r="D856" s="338" t="s">
        <v>90</v>
      </c>
      <c r="E856" s="338" t="s">
        <v>98</v>
      </c>
      <c r="F856" s="338" t="s">
        <v>325</v>
      </c>
      <c r="G856" s="338" t="s">
        <v>340</v>
      </c>
      <c r="H856" s="542" t="s">
        <v>345</v>
      </c>
      <c r="I856" s="339" t="s">
        <v>351</v>
      </c>
      <c r="J856" s="339">
        <v>39939</v>
      </c>
      <c r="K856" s="339">
        <v>40000</v>
      </c>
      <c r="L856" s="391">
        <f t="shared" si="22"/>
        <v>2.0666666666666669</v>
      </c>
      <c r="M856" s="338">
        <v>2</v>
      </c>
      <c r="N856" s="338">
        <v>342</v>
      </c>
      <c r="O856" s="338" t="s">
        <v>98</v>
      </c>
      <c r="P856" s="338">
        <v>340</v>
      </c>
      <c r="Q856" s="510">
        <v>2</v>
      </c>
      <c r="R856" s="338"/>
      <c r="S856" s="311"/>
      <c r="U856" s="471"/>
      <c r="V856" s="471"/>
      <c r="W856" s="512"/>
    </row>
    <row r="857" spans="1:48" s="312" customFormat="1" ht="86.4" x14ac:dyDescent="0.3">
      <c r="A857" s="510">
        <v>10</v>
      </c>
      <c r="B857" s="338" t="s">
        <v>324</v>
      </c>
      <c r="C857" s="338">
        <v>348</v>
      </c>
      <c r="D857" s="338" t="s">
        <v>90</v>
      </c>
      <c r="E857" s="338" t="s">
        <v>98</v>
      </c>
      <c r="F857" s="338" t="s">
        <v>325</v>
      </c>
      <c r="G857" s="338" t="s">
        <v>340</v>
      </c>
      <c r="H857" s="542" t="s">
        <v>345</v>
      </c>
      <c r="I857" s="339" t="s">
        <v>350</v>
      </c>
      <c r="J857" s="339">
        <v>40134</v>
      </c>
      <c r="K857" s="339">
        <v>40226</v>
      </c>
      <c r="L857" s="391">
        <f t="shared" si="22"/>
        <v>3.1</v>
      </c>
      <c r="M857" s="338">
        <v>3</v>
      </c>
      <c r="N857" s="338">
        <v>352</v>
      </c>
      <c r="O857" s="338" t="s">
        <v>98</v>
      </c>
      <c r="P857" s="338">
        <v>349</v>
      </c>
      <c r="Q857" s="510">
        <v>0</v>
      </c>
      <c r="R857" s="338" t="s">
        <v>352</v>
      </c>
      <c r="S857" s="311"/>
      <c r="U857" s="471"/>
      <c r="V857" s="471"/>
      <c r="W857" s="512"/>
    </row>
    <row r="858" spans="1:48" s="312" customFormat="1" ht="115.2" x14ac:dyDescent="0.3">
      <c r="A858" s="338">
        <v>12</v>
      </c>
      <c r="B858" s="338" t="s">
        <v>339</v>
      </c>
      <c r="C858" s="338">
        <v>357</v>
      </c>
      <c r="D858" s="338" t="s">
        <v>90</v>
      </c>
      <c r="E858" s="338" t="s">
        <v>98</v>
      </c>
      <c r="F858" s="338" t="s">
        <v>325</v>
      </c>
      <c r="G858" s="338" t="s">
        <v>340</v>
      </c>
      <c r="H858" s="542" t="s">
        <v>345</v>
      </c>
      <c r="I858" s="339" t="s">
        <v>353</v>
      </c>
      <c r="J858" s="339">
        <v>40987</v>
      </c>
      <c r="K858" s="339">
        <v>41079</v>
      </c>
      <c r="L858" s="391">
        <f t="shared" si="22"/>
        <v>3.1</v>
      </c>
      <c r="M858" s="338">
        <v>4</v>
      </c>
      <c r="N858" s="338">
        <v>358</v>
      </c>
      <c r="O858" s="338" t="s">
        <v>98</v>
      </c>
      <c r="P858" s="338">
        <v>372</v>
      </c>
      <c r="Q858" s="510">
        <v>3.1</v>
      </c>
      <c r="R858" s="338"/>
      <c r="S858" s="311"/>
      <c r="U858" s="471"/>
      <c r="V858" s="471"/>
      <c r="W858" s="512"/>
    </row>
    <row r="859" spans="1:48" s="312" customFormat="1" ht="100.8" x14ac:dyDescent="0.3">
      <c r="A859" s="510">
        <v>13</v>
      </c>
      <c r="B859" s="338" t="s">
        <v>354</v>
      </c>
      <c r="C859" s="338">
        <v>374</v>
      </c>
      <c r="D859" s="338" t="s">
        <v>90</v>
      </c>
      <c r="E859" s="338" t="s">
        <v>98</v>
      </c>
      <c r="F859" s="338" t="s">
        <v>325</v>
      </c>
      <c r="G859" s="338" t="s">
        <v>355</v>
      </c>
      <c r="H859" s="542" t="s">
        <v>345</v>
      </c>
      <c r="I859" s="339" t="s">
        <v>356</v>
      </c>
      <c r="J859" s="339">
        <v>40287</v>
      </c>
      <c r="K859" s="339">
        <v>40494</v>
      </c>
      <c r="L859" s="391">
        <f t="shared" si="22"/>
        <v>6.9333333333333336</v>
      </c>
      <c r="M859" s="338">
        <v>5</v>
      </c>
      <c r="N859" s="338">
        <v>379</v>
      </c>
      <c r="O859" s="338" t="s">
        <v>98</v>
      </c>
      <c r="P859" s="338">
        <v>375</v>
      </c>
      <c r="Q859" s="510">
        <v>5</v>
      </c>
      <c r="R859" s="338"/>
      <c r="S859" s="311"/>
      <c r="U859" s="471"/>
      <c r="V859" s="471"/>
      <c r="W859" s="512"/>
    </row>
    <row r="860" spans="1:48" s="312" customFormat="1" ht="57.6" x14ac:dyDescent="0.3">
      <c r="A860" s="338">
        <v>14</v>
      </c>
      <c r="B860" s="338" t="s">
        <v>324</v>
      </c>
      <c r="C860" s="338">
        <v>385</v>
      </c>
      <c r="D860" s="338" t="s">
        <v>90</v>
      </c>
      <c r="E860" s="338" t="s">
        <v>98</v>
      </c>
      <c r="F860" s="338" t="s">
        <v>325</v>
      </c>
      <c r="G860" s="338" t="s">
        <v>359</v>
      </c>
      <c r="H860" s="542" t="s">
        <v>357</v>
      </c>
      <c r="I860" s="339" t="s">
        <v>358</v>
      </c>
      <c r="J860" s="339">
        <v>38873</v>
      </c>
      <c r="K860" s="339">
        <v>39340</v>
      </c>
      <c r="L860" s="391">
        <f t="shared" si="22"/>
        <v>15.6</v>
      </c>
      <c r="M860" s="338">
        <v>5</v>
      </c>
      <c r="N860" s="338">
        <v>386</v>
      </c>
      <c r="O860" s="338" t="s">
        <v>98</v>
      </c>
      <c r="P860" s="338">
        <v>395</v>
      </c>
      <c r="Q860" s="510">
        <v>5</v>
      </c>
      <c r="R860" s="338"/>
      <c r="S860" s="311"/>
      <c r="U860" s="471"/>
      <c r="V860" s="471"/>
      <c r="W860" s="512"/>
    </row>
    <row r="861" spans="1:48" s="312" customFormat="1" ht="86.4" x14ac:dyDescent="0.3">
      <c r="A861" s="338">
        <v>15</v>
      </c>
      <c r="B861" s="338">
        <v>2014000525</v>
      </c>
      <c r="C861" s="338">
        <v>406</v>
      </c>
      <c r="D861" s="338" t="s">
        <v>90</v>
      </c>
      <c r="E861" s="338" t="s">
        <v>98</v>
      </c>
      <c r="F861" s="338" t="s">
        <v>325</v>
      </c>
      <c r="G861" s="338" t="s">
        <v>348</v>
      </c>
      <c r="H861" s="542" t="s">
        <v>360</v>
      </c>
      <c r="I861" s="339" t="s">
        <v>361</v>
      </c>
      <c r="J861" s="339">
        <v>41866</v>
      </c>
      <c r="K861" s="339">
        <v>41993</v>
      </c>
      <c r="L861" s="391">
        <f t="shared" si="22"/>
        <v>4.2666666666666666</v>
      </c>
      <c r="M861" s="338">
        <v>3.5</v>
      </c>
      <c r="N861" s="338">
        <v>407</v>
      </c>
      <c r="O861" s="338" t="s">
        <v>98</v>
      </c>
      <c r="P861" s="338">
        <v>423</v>
      </c>
      <c r="Q861" s="510">
        <v>3.5</v>
      </c>
      <c r="R861" s="338"/>
      <c r="S861" s="311"/>
      <c r="U861" s="471"/>
      <c r="V861" s="471"/>
      <c r="W861" s="512"/>
    </row>
    <row r="862" spans="1:48" s="312" customFormat="1" ht="86.4" x14ac:dyDescent="0.3">
      <c r="A862" s="338">
        <v>16</v>
      </c>
      <c r="B862" s="338" t="s">
        <v>362</v>
      </c>
      <c r="C862" s="338">
        <v>427</v>
      </c>
      <c r="D862" s="338" t="s">
        <v>90</v>
      </c>
      <c r="E862" s="338" t="s">
        <v>98</v>
      </c>
      <c r="F862" s="338" t="s">
        <v>325</v>
      </c>
      <c r="G862" s="338" t="s">
        <v>363</v>
      </c>
      <c r="H862" s="542" t="s">
        <v>364</v>
      </c>
      <c r="I862" s="339" t="s">
        <v>365</v>
      </c>
      <c r="J862" s="339">
        <v>43235</v>
      </c>
      <c r="K862" s="339">
        <v>43357</v>
      </c>
      <c r="L862" s="391">
        <f t="shared" si="22"/>
        <v>4.0999999999999996</v>
      </c>
      <c r="M862" s="338">
        <v>4</v>
      </c>
      <c r="N862" s="338">
        <v>428</v>
      </c>
      <c r="O862" s="338" t="s">
        <v>98</v>
      </c>
      <c r="P862" s="338">
        <v>443</v>
      </c>
      <c r="Q862" s="510">
        <v>4</v>
      </c>
      <c r="R862" s="338"/>
      <c r="S862" s="311"/>
      <c r="U862" s="471"/>
      <c r="V862" s="471"/>
      <c r="W862" s="512"/>
    </row>
    <row r="863" spans="1:48" s="312" customFormat="1" x14ac:dyDescent="0.3">
      <c r="A863" s="338">
        <v>17</v>
      </c>
      <c r="B863" s="338"/>
      <c r="C863" s="338"/>
      <c r="D863" s="338"/>
      <c r="E863" s="338"/>
      <c r="F863" s="338"/>
      <c r="G863" s="338"/>
      <c r="H863" s="542"/>
      <c r="I863" s="339"/>
      <c r="J863" s="339"/>
      <c r="K863" s="339"/>
      <c r="L863" s="391"/>
      <c r="M863" s="338"/>
      <c r="N863" s="338"/>
      <c r="O863" s="338"/>
      <c r="P863" s="338"/>
      <c r="Q863" s="510"/>
      <c r="R863" s="338"/>
      <c r="S863" s="311"/>
      <c r="U863" s="471"/>
      <c r="V863" s="471"/>
      <c r="W863" s="512"/>
    </row>
    <row r="864" spans="1:48" s="312" customFormat="1" x14ac:dyDescent="0.3">
      <c r="A864" s="338"/>
      <c r="B864" s="338"/>
      <c r="C864" s="338"/>
      <c r="D864" s="338"/>
      <c r="E864" s="338"/>
      <c r="F864" s="338"/>
      <c r="G864" s="338"/>
      <c r="H864" s="542"/>
      <c r="I864" s="339"/>
      <c r="J864" s="339"/>
      <c r="K864" s="339"/>
      <c r="L864" s="391"/>
      <c r="M864" s="338"/>
      <c r="N864" s="338"/>
      <c r="O864" s="338"/>
      <c r="P864" s="338"/>
      <c r="Q864" s="510"/>
      <c r="R864" s="338"/>
      <c r="S864" s="311"/>
      <c r="U864" s="471"/>
      <c r="V864" s="471"/>
      <c r="W864" s="512"/>
    </row>
    <row r="865" spans="1:23" s="163" customFormat="1" x14ac:dyDescent="0.3">
      <c r="A865" s="272"/>
      <c r="B865" s="272"/>
      <c r="C865" s="272"/>
      <c r="D865" s="272"/>
      <c r="E865" s="272"/>
      <c r="F865" s="272"/>
      <c r="G865" s="272"/>
      <c r="H865" s="543"/>
      <c r="I865" s="272"/>
      <c r="J865" s="272"/>
      <c r="K865" s="274"/>
      <c r="L865" s="272"/>
      <c r="M865" s="272"/>
      <c r="N865" s="272"/>
      <c r="O865" s="272"/>
      <c r="P865" s="273"/>
      <c r="Q865" s="511"/>
      <c r="R865" s="272"/>
      <c r="S865" s="173"/>
      <c r="U865" s="464"/>
      <c r="V865" s="464"/>
      <c r="W865" s="465"/>
    </row>
    <row r="866" spans="1:23" s="163" customFormat="1" ht="27.6" x14ac:dyDescent="0.3">
      <c r="A866" s="272"/>
      <c r="B866" s="272"/>
      <c r="C866" s="272"/>
      <c r="D866" s="272"/>
      <c r="E866" s="272"/>
      <c r="F866" s="272"/>
      <c r="G866" s="272"/>
      <c r="H866" s="547"/>
      <c r="I866" s="276"/>
      <c r="J866" s="276"/>
      <c r="K866" s="275"/>
      <c r="L866" s="272"/>
      <c r="M866" s="272"/>
      <c r="N866" s="272"/>
      <c r="P866" s="276" t="s">
        <v>146</v>
      </c>
      <c r="Q866" s="274">
        <f>SUM(Q848:Q865)</f>
        <v>54.93</v>
      </c>
      <c r="R866" s="272"/>
      <c r="S866" s="173"/>
      <c r="U866" s="464"/>
      <c r="V866" s="464"/>
      <c r="W866" s="465"/>
    </row>
    <row r="867" spans="1:23" s="163" customFormat="1" ht="15" thickBot="1" x14ac:dyDescent="0.35">
      <c r="A867" s="272"/>
      <c r="B867" s="272"/>
      <c r="C867" s="272"/>
      <c r="D867" s="272"/>
      <c r="E867" s="272"/>
      <c r="F867" s="272"/>
      <c r="G867" s="272"/>
      <c r="H867" s="543"/>
      <c r="I867" s="272"/>
      <c r="J867" s="272"/>
      <c r="K867" s="272"/>
      <c r="L867" s="272"/>
      <c r="M867" s="272"/>
      <c r="N867" s="272"/>
      <c r="O867" s="272"/>
      <c r="P867" s="272"/>
      <c r="Q867" s="173"/>
      <c r="U867" s="465"/>
      <c r="V867" s="465"/>
      <c r="W867" s="465"/>
    </row>
    <row r="868" spans="1:23" s="163" customFormat="1" ht="15" thickBot="1" x14ac:dyDescent="0.35">
      <c r="A868" s="418" t="s">
        <v>265</v>
      </c>
      <c r="B868" s="419"/>
      <c r="C868" s="419"/>
      <c r="D868" s="419"/>
      <c r="E868" s="420"/>
      <c r="F868" s="268"/>
      <c r="G868" s="269"/>
      <c r="H868" s="540"/>
      <c r="I868" s="196"/>
      <c r="J868" s="196"/>
      <c r="K868" s="196"/>
      <c r="L868" s="196"/>
      <c r="M868" s="196"/>
      <c r="N868" s="196"/>
      <c r="O868" s="196"/>
      <c r="P868" s="173"/>
      <c r="U868" s="465"/>
      <c r="V868" s="465"/>
      <c r="W868" s="465"/>
    </row>
    <row r="869" spans="1:23" s="163" customFormat="1" ht="15" thickBot="1" x14ac:dyDescent="0.35">
      <c r="A869" s="418" t="s">
        <v>143</v>
      </c>
      <c r="B869" s="419"/>
      <c r="C869" s="420"/>
      <c r="D869" s="421" t="s">
        <v>126</v>
      </c>
      <c r="E869" s="421" t="s">
        <v>144</v>
      </c>
      <c r="F869" s="268"/>
      <c r="G869" s="269"/>
      <c r="H869" s="540"/>
      <c r="I869" s="196"/>
      <c r="J869" s="196"/>
      <c r="K869" s="196"/>
      <c r="L869" s="196"/>
      <c r="M869" s="196"/>
      <c r="N869" s="196"/>
      <c r="O869" s="196"/>
      <c r="P869" s="173"/>
      <c r="U869" s="465"/>
      <c r="V869" s="465"/>
      <c r="W869" s="465"/>
    </row>
    <row r="870" spans="1:23" s="163" customFormat="1" x14ac:dyDescent="0.3">
      <c r="A870" s="332" t="s">
        <v>187</v>
      </c>
      <c r="B870" s="333"/>
      <c r="C870" s="334"/>
      <c r="D870" s="335"/>
      <c r="E870" s="335"/>
      <c r="F870" s="268"/>
      <c r="G870" s="269"/>
      <c r="H870" s="540"/>
      <c r="I870" s="196"/>
      <c r="J870" s="196"/>
      <c r="K870" s="196"/>
      <c r="L870" s="196"/>
      <c r="M870" s="196"/>
      <c r="N870" s="196"/>
      <c r="O870" s="196"/>
      <c r="P870" s="173"/>
      <c r="U870" s="465"/>
      <c r="V870" s="465"/>
      <c r="W870" s="465"/>
    </row>
    <row r="871" spans="1:23" s="163" customFormat="1" x14ac:dyDescent="0.3">
      <c r="A871" s="326" t="s">
        <v>149</v>
      </c>
      <c r="B871" s="327"/>
      <c r="C871" s="328"/>
      <c r="D871" s="320"/>
      <c r="E871" s="320"/>
      <c r="F871" s="268"/>
      <c r="G871" s="269"/>
      <c r="H871" s="540"/>
      <c r="I871" s="196"/>
      <c r="J871" s="196"/>
      <c r="K871" s="196"/>
      <c r="L871" s="196"/>
      <c r="M871" s="196"/>
      <c r="N871" s="196"/>
      <c r="O871" s="196"/>
      <c r="P871" s="173"/>
      <c r="U871" s="465"/>
      <c r="V871" s="465"/>
      <c r="W871" s="465"/>
    </row>
    <row r="872" spans="1:23" s="163" customFormat="1" x14ac:dyDescent="0.3">
      <c r="A872" s="343" t="s">
        <v>150</v>
      </c>
      <c r="B872" s="344"/>
      <c r="C872" s="345"/>
      <c r="D872" s="346"/>
      <c r="E872" s="346"/>
      <c r="F872" s="268"/>
      <c r="G872" s="269"/>
      <c r="H872" s="540"/>
      <c r="I872" s="196"/>
      <c r="J872" s="196"/>
      <c r="K872" s="196"/>
      <c r="L872" s="196"/>
      <c r="M872" s="196"/>
      <c r="N872" s="196"/>
      <c r="O872" s="196"/>
      <c r="P872" s="173"/>
      <c r="U872" s="465"/>
      <c r="V872" s="465"/>
      <c r="W872" s="465"/>
    </row>
    <row r="873" spans="1:23" s="163" customFormat="1" x14ac:dyDescent="0.3">
      <c r="A873" s="343" t="s">
        <v>142</v>
      </c>
      <c r="B873" s="344"/>
      <c r="C873" s="345"/>
      <c r="D873" s="346"/>
      <c r="E873" s="346"/>
      <c r="F873" s="268"/>
      <c r="G873" s="269"/>
      <c r="H873" s="540"/>
      <c r="I873" s="196"/>
      <c r="J873" s="196"/>
      <c r="K873" s="196"/>
      <c r="L873" s="196"/>
      <c r="M873" s="196"/>
      <c r="N873" s="196"/>
      <c r="O873" s="196"/>
      <c r="P873" s="173"/>
      <c r="U873" s="465"/>
      <c r="V873" s="465"/>
      <c r="W873" s="465"/>
    </row>
    <row r="874" spans="1:23" s="163" customFormat="1" x14ac:dyDescent="0.3">
      <c r="A874" s="343"/>
      <c r="B874" s="344"/>
      <c r="C874" s="345"/>
      <c r="D874" s="346"/>
      <c r="E874" s="346"/>
      <c r="F874" s="268"/>
      <c r="G874" s="269"/>
      <c r="H874" s="540"/>
      <c r="I874" s="196"/>
      <c r="J874" s="196"/>
      <c r="K874" s="196"/>
      <c r="L874" s="196"/>
      <c r="M874" s="196"/>
      <c r="N874" s="196"/>
      <c r="O874" s="196"/>
      <c r="P874" s="173"/>
      <c r="U874" s="465"/>
      <c r="V874" s="465"/>
      <c r="W874" s="465"/>
    </row>
    <row r="875" spans="1:23" s="163" customFormat="1" ht="15" thickBot="1" x14ac:dyDescent="0.35">
      <c r="A875" s="329"/>
      <c r="B875" s="330"/>
      <c r="C875" s="331"/>
      <c r="D875" s="321"/>
      <c r="E875" s="321"/>
      <c r="F875" s="268"/>
      <c r="G875" s="269"/>
      <c r="H875" s="540"/>
      <c r="I875" s="196"/>
      <c r="J875" s="196"/>
      <c r="K875" s="196"/>
      <c r="L875" s="196"/>
      <c r="M875" s="196"/>
      <c r="N875" s="196"/>
      <c r="O875" s="196"/>
      <c r="P875" s="173"/>
      <c r="U875" s="465"/>
      <c r="V875" s="465"/>
      <c r="W875" s="465"/>
    </row>
    <row r="876" spans="1:23" ht="15" thickBot="1" x14ac:dyDescent="0.35"/>
    <row r="877" spans="1:23" ht="15" thickBot="1" x14ac:dyDescent="0.35">
      <c r="A877" s="418" t="s">
        <v>205</v>
      </c>
      <c r="B877" s="419"/>
      <c r="C877" s="419"/>
      <c r="D877" s="419"/>
      <c r="E877" s="420"/>
      <c r="F877" s="486"/>
    </row>
    <row r="878" spans="1:23" ht="15" thickBot="1" x14ac:dyDescent="0.35">
      <c r="A878" s="418" t="s">
        <v>143</v>
      </c>
      <c r="B878" s="419"/>
      <c r="C878" s="420"/>
      <c r="D878" s="421" t="s">
        <v>126</v>
      </c>
      <c r="E878" s="421" t="s">
        <v>144</v>
      </c>
    </row>
    <row r="879" spans="1:23" x14ac:dyDescent="0.3">
      <c r="A879" s="332" t="s">
        <v>187</v>
      </c>
      <c r="B879" s="333"/>
      <c r="C879" s="334"/>
      <c r="D879" s="335"/>
      <c r="E879" s="335"/>
    </row>
    <row r="880" spans="1:23" x14ac:dyDescent="0.3">
      <c r="A880" s="326" t="s">
        <v>149</v>
      </c>
      <c r="B880" s="327"/>
      <c r="C880" s="328"/>
      <c r="D880" s="320"/>
      <c r="E880" s="320"/>
    </row>
    <row r="881" spans="1:23" x14ac:dyDescent="0.3">
      <c r="A881" s="343" t="s">
        <v>151</v>
      </c>
      <c r="B881" s="344"/>
      <c r="C881" s="345"/>
      <c r="D881" s="346"/>
      <c r="E881" s="346"/>
    </row>
    <row r="882" spans="1:23" ht="15" thickBot="1" x14ac:dyDescent="0.35">
      <c r="A882" s="329"/>
      <c r="B882" s="330"/>
      <c r="C882" s="331"/>
      <c r="D882" s="321"/>
      <c r="E882" s="321"/>
    </row>
    <row r="884" spans="1:23" s="163" customFormat="1" ht="46.8" x14ac:dyDescent="0.3">
      <c r="A884" s="182" t="s">
        <v>206</v>
      </c>
      <c r="B884" s="182" t="s">
        <v>35</v>
      </c>
      <c r="C884" s="182" t="s">
        <v>189</v>
      </c>
      <c r="D884" s="182" t="s">
        <v>207</v>
      </c>
      <c r="E884" s="182" t="s">
        <v>152</v>
      </c>
      <c r="F884" s="182" t="s">
        <v>193</v>
      </c>
      <c r="G884" s="271" t="s">
        <v>97</v>
      </c>
      <c r="H884" s="541" t="s">
        <v>5</v>
      </c>
      <c r="I884" s="271" t="s">
        <v>145</v>
      </c>
      <c r="J884" s="271" t="s">
        <v>190</v>
      </c>
      <c r="K884" s="271" t="s">
        <v>209</v>
      </c>
      <c r="L884" s="271" t="s">
        <v>153</v>
      </c>
      <c r="M884" s="271" t="s">
        <v>191</v>
      </c>
      <c r="N884" s="271"/>
      <c r="O884" s="271"/>
      <c r="P884" s="271"/>
      <c r="Q884" s="271" t="s">
        <v>192</v>
      </c>
      <c r="U884" s="465"/>
      <c r="V884" s="465"/>
      <c r="W884" s="465"/>
    </row>
    <row r="885" spans="1:23" s="312" customFormat="1" x14ac:dyDescent="0.3">
      <c r="A885" s="338">
        <v>1</v>
      </c>
      <c r="B885" s="338"/>
      <c r="C885" s="338"/>
      <c r="D885" s="341"/>
      <c r="E885" s="338"/>
      <c r="F885" s="338"/>
      <c r="G885" s="338"/>
      <c r="H885" s="542"/>
      <c r="I885" s="339"/>
      <c r="J885" s="339"/>
      <c r="K885" s="338"/>
      <c r="L885" s="349"/>
      <c r="O885" s="338"/>
      <c r="P885" s="338"/>
      <c r="Q885" s="338"/>
      <c r="U885" s="470"/>
      <c r="V885" s="470"/>
      <c r="W885" s="470"/>
    </row>
    <row r="886" spans="1:23" s="312" customFormat="1" x14ac:dyDescent="0.3">
      <c r="A886" s="338">
        <v>2</v>
      </c>
      <c r="B886" s="338"/>
      <c r="C886" s="338"/>
      <c r="D886" s="341"/>
      <c r="E886" s="338"/>
      <c r="F886" s="338"/>
      <c r="G886" s="338"/>
      <c r="H886" s="542"/>
      <c r="I886" s="339"/>
      <c r="J886" s="339"/>
      <c r="K886" s="338"/>
      <c r="L886" s="349"/>
      <c r="M886" s="338"/>
      <c r="N886" s="338"/>
      <c r="O886" s="338"/>
      <c r="P886" s="338"/>
      <c r="Q886" s="338"/>
      <c r="U886" s="470"/>
      <c r="V886" s="470"/>
      <c r="W886" s="470"/>
    </row>
    <row r="887" spans="1:23" s="312" customFormat="1" x14ac:dyDescent="0.3">
      <c r="A887" s="338">
        <v>3</v>
      </c>
      <c r="B887" s="338"/>
      <c r="C887" s="338"/>
      <c r="D887" s="341"/>
      <c r="E887" s="338"/>
      <c r="F887" s="338"/>
      <c r="G887" s="338"/>
      <c r="H887" s="542"/>
      <c r="I887" s="339"/>
      <c r="J887" s="339"/>
      <c r="K887" s="338"/>
      <c r="L887" s="342"/>
      <c r="M887" s="338"/>
      <c r="N887" s="338"/>
      <c r="O887" s="338"/>
      <c r="P887" s="338"/>
      <c r="Q887" s="338"/>
      <c r="U887" s="470"/>
      <c r="V887" s="470"/>
      <c r="W887" s="470"/>
    </row>
    <row r="888" spans="1:23" s="312" customFormat="1" x14ac:dyDescent="0.3">
      <c r="A888" s="338">
        <v>4</v>
      </c>
      <c r="B888" s="338"/>
      <c r="C888" s="338"/>
      <c r="D888" s="341"/>
      <c r="E888" s="338"/>
      <c r="F888" s="338"/>
      <c r="G888" s="338"/>
      <c r="H888" s="542"/>
      <c r="I888" s="339"/>
      <c r="J888" s="339"/>
      <c r="K888" s="338"/>
      <c r="L888" s="342"/>
      <c r="M888" s="338"/>
      <c r="N888" s="338"/>
      <c r="O888" s="338"/>
      <c r="P888" s="338"/>
      <c r="Q888" s="338"/>
      <c r="U888" s="470"/>
      <c r="V888" s="470"/>
      <c r="W888" s="470"/>
    </row>
    <row r="889" spans="1:23" s="312" customFormat="1" x14ac:dyDescent="0.3">
      <c r="A889" s="338">
        <v>5</v>
      </c>
      <c r="B889" s="338"/>
      <c r="C889" s="338"/>
      <c r="D889" s="341"/>
      <c r="E889" s="338"/>
      <c r="F889" s="338"/>
      <c r="G889" s="338"/>
      <c r="H889" s="542"/>
      <c r="I889" s="339"/>
      <c r="J889" s="339"/>
      <c r="K889" s="338"/>
      <c r="L889" s="342"/>
      <c r="M889" s="338"/>
      <c r="N889" s="338"/>
      <c r="O889" s="338"/>
      <c r="P889" s="338"/>
      <c r="Q889" s="338"/>
      <c r="U889" s="470"/>
      <c r="V889" s="470"/>
      <c r="W889" s="470"/>
    </row>
    <row r="890" spans="1:23" s="312" customFormat="1" x14ac:dyDescent="0.3">
      <c r="A890" s="338">
        <v>6</v>
      </c>
      <c r="B890" s="338"/>
      <c r="C890" s="338"/>
      <c r="D890" s="341"/>
      <c r="E890" s="338"/>
      <c r="F890" s="338"/>
      <c r="G890" s="338"/>
      <c r="H890" s="542"/>
      <c r="I890" s="339"/>
      <c r="J890" s="339"/>
      <c r="K890" s="338"/>
      <c r="L890" s="342"/>
      <c r="M890" s="338"/>
      <c r="N890" s="338"/>
      <c r="O890" s="338"/>
      <c r="P890" s="338"/>
      <c r="Q890" s="347"/>
      <c r="U890" s="470"/>
      <c r="V890" s="470"/>
      <c r="W890" s="470"/>
    </row>
    <row r="891" spans="1:23" s="312" customFormat="1" x14ac:dyDescent="0.3">
      <c r="A891" s="338">
        <v>7</v>
      </c>
      <c r="B891" s="338"/>
      <c r="C891" s="338"/>
      <c r="D891" s="341"/>
      <c r="E891" s="338"/>
      <c r="F891" s="338"/>
      <c r="G891" s="338"/>
      <c r="H891" s="542"/>
      <c r="I891" s="339"/>
      <c r="J891" s="339"/>
      <c r="K891" s="338"/>
      <c r="L891" s="342"/>
      <c r="M891" s="338"/>
      <c r="N891" s="338"/>
      <c r="O891" s="338"/>
      <c r="P891" s="338"/>
      <c r="Q891" s="338"/>
      <c r="U891" s="470"/>
      <c r="V891" s="470"/>
      <c r="W891" s="470"/>
    </row>
    <row r="892" spans="1:23" s="312" customFormat="1" x14ac:dyDescent="0.3">
      <c r="A892" s="338">
        <v>8</v>
      </c>
      <c r="B892" s="338"/>
      <c r="C892" s="338"/>
      <c r="D892" s="341"/>
      <c r="E892" s="338"/>
      <c r="F892" s="338"/>
      <c r="G892" s="338"/>
      <c r="H892" s="542"/>
      <c r="I892" s="339"/>
      <c r="J892" s="339"/>
      <c r="K892" s="338"/>
      <c r="L892" s="342"/>
      <c r="M892" s="338"/>
      <c r="N892" s="338"/>
      <c r="O892" s="338"/>
      <c r="P892" s="338"/>
      <c r="Q892" s="338"/>
      <c r="U892" s="470"/>
      <c r="V892" s="470"/>
      <c r="W892" s="470"/>
    </row>
    <row r="893" spans="1:23" s="312" customFormat="1" x14ac:dyDescent="0.3">
      <c r="A893" s="338">
        <v>9</v>
      </c>
      <c r="B893" s="338"/>
      <c r="C893" s="338"/>
      <c r="D893" s="341"/>
      <c r="E893" s="338"/>
      <c r="F893" s="338"/>
      <c r="G893" s="338"/>
      <c r="H893" s="542"/>
      <c r="I893" s="339"/>
      <c r="J893" s="339"/>
      <c r="K893" s="338"/>
      <c r="L893" s="342"/>
      <c r="M893" s="338"/>
      <c r="N893" s="338"/>
      <c r="O893" s="338"/>
      <c r="P893" s="338"/>
      <c r="Q893" s="338"/>
      <c r="U893" s="470"/>
      <c r="V893" s="470"/>
      <c r="W893" s="470"/>
    </row>
    <row r="894" spans="1:23" s="312" customFormat="1" x14ac:dyDescent="0.3">
      <c r="A894" s="338">
        <v>10</v>
      </c>
      <c r="B894" s="338"/>
      <c r="C894" s="338"/>
      <c r="D894" s="341"/>
      <c r="E894" s="338"/>
      <c r="F894" s="338"/>
      <c r="G894" s="338"/>
      <c r="H894" s="542"/>
      <c r="I894" s="339"/>
      <c r="J894" s="339"/>
      <c r="K894" s="338"/>
      <c r="L894" s="342"/>
      <c r="M894" s="338"/>
      <c r="N894" s="338"/>
      <c r="O894" s="338"/>
      <c r="P894" s="338"/>
      <c r="Q894" s="338"/>
      <c r="U894" s="470"/>
      <c r="V894" s="470"/>
      <c r="W894" s="470"/>
    </row>
    <row r="895" spans="1:23" s="312" customFormat="1" x14ac:dyDescent="0.3">
      <c r="A895" s="338">
        <v>11</v>
      </c>
      <c r="B895" s="338"/>
      <c r="C895" s="338"/>
      <c r="D895" s="341"/>
      <c r="E895" s="338"/>
      <c r="F895" s="338"/>
      <c r="G895" s="338"/>
      <c r="H895" s="542"/>
      <c r="I895" s="339"/>
      <c r="J895" s="339"/>
      <c r="K895" s="338"/>
      <c r="L895" s="342"/>
      <c r="M895" s="338"/>
      <c r="N895" s="338"/>
      <c r="O895" s="338"/>
      <c r="P895" s="338"/>
      <c r="Q895" s="338"/>
      <c r="U895" s="470"/>
      <c r="V895" s="470"/>
      <c r="W895" s="470"/>
    </row>
    <row r="896" spans="1:23" s="312" customFormat="1" x14ac:dyDescent="0.3">
      <c r="A896" s="338">
        <v>12</v>
      </c>
      <c r="B896" s="338"/>
      <c r="C896" s="338"/>
      <c r="D896" s="341"/>
      <c r="E896" s="338"/>
      <c r="F896" s="338"/>
      <c r="G896" s="338"/>
      <c r="H896" s="542"/>
      <c r="I896" s="339"/>
      <c r="J896" s="339"/>
      <c r="K896" s="338"/>
      <c r="L896" s="342"/>
      <c r="M896" s="338"/>
      <c r="N896" s="338"/>
      <c r="O896" s="338"/>
      <c r="P896" s="338"/>
      <c r="Q896" s="338"/>
      <c r="U896" s="470"/>
      <c r="V896" s="470"/>
      <c r="W896" s="470"/>
    </row>
    <row r="897" spans="1:23" s="312" customFormat="1" x14ac:dyDescent="0.3">
      <c r="A897" s="338">
        <v>13</v>
      </c>
      <c r="B897" s="338"/>
      <c r="C897" s="338"/>
      <c r="D897" s="341"/>
      <c r="E897" s="338"/>
      <c r="F897" s="338"/>
      <c r="G897" s="338"/>
      <c r="H897" s="542"/>
      <c r="I897" s="339"/>
      <c r="J897" s="339"/>
      <c r="K897" s="338"/>
      <c r="L897" s="342"/>
      <c r="M897" s="338"/>
      <c r="N897" s="338"/>
      <c r="O897" s="338"/>
      <c r="P897" s="338"/>
      <c r="Q897" s="338"/>
      <c r="U897" s="470"/>
      <c r="V897" s="470"/>
      <c r="W897" s="470"/>
    </row>
    <row r="898" spans="1:23" s="312" customFormat="1" x14ac:dyDescent="0.3">
      <c r="A898" s="338">
        <v>14</v>
      </c>
      <c r="B898" s="338"/>
      <c r="C898" s="338"/>
      <c r="D898" s="341"/>
      <c r="E898" s="338"/>
      <c r="F898" s="338"/>
      <c r="G898" s="338"/>
      <c r="H898" s="542"/>
      <c r="I898" s="339"/>
      <c r="J898" s="339"/>
      <c r="K898" s="338"/>
      <c r="L898" s="342"/>
      <c r="M898" s="338"/>
      <c r="N898" s="338"/>
      <c r="O898" s="338"/>
      <c r="P898" s="338"/>
      <c r="Q898" s="347"/>
      <c r="U898" s="470"/>
      <c r="V898" s="470"/>
      <c r="W898" s="470"/>
    </row>
    <row r="899" spans="1:23" s="312" customFormat="1" x14ac:dyDescent="0.3">
      <c r="A899" s="338"/>
      <c r="B899" s="338"/>
      <c r="C899" s="338"/>
      <c r="D899" s="341"/>
      <c r="E899" s="338"/>
      <c r="F899" s="338"/>
      <c r="G899" s="338"/>
      <c r="H899" s="542"/>
      <c r="I899" s="339"/>
      <c r="J899" s="339"/>
      <c r="K899" s="338"/>
      <c r="L899" s="342"/>
      <c r="M899" s="338"/>
      <c r="N899" s="338"/>
      <c r="O899" s="338"/>
      <c r="P899" s="338"/>
      <c r="Q899" s="347"/>
      <c r="U899" s="470"/>
      <c r="V899" s="470"/>
      <c r="W899" s="470"/>
    </row>
    <row r="900" spans="1:23" s="312" customFormat="1" x14ac:dyDescent="0.3">
      <c r="A900" s="338"/>
      <c r="B900" s="338"/>
      <c r="C900" s="338"/>
      <c r="D900" s="338"/>
      <c r="E900" s="338"/>
      <c r="F900" s="338"/>
      <c r="G900" s="338"/>
      <c r="H900" s="544"/>
      <c r="I900" s="348"/>
      <c r="J900" s="348" t="s">
        <v>210</v>
      </c>
      <c r="K900" s="338">
        <f>SUM(K885:K893)</f>
        <v>0</v>
      </c>
      <c r="L900" s="338"/>
      <c r="M900" s="338"/>
      <c r="N900" s="338"/>
      <c r="O900" s="338"/>
      <c r="P900" s="338"/>
      <c r="U900" s="470"/>
      <c r="V900" s="470"/>
      <c r="W900" s="470"/>
    </row>
    <row r="901" spans="1:23" ht="15" thickBot="1" x14ac:dyDescent="0.35"/>
    <row r="902" spans="1:23" ht="15" thickBot="1" x14ac:dyDescent="0.35">
      <c r="A902" s="418" t="s">
        <v>303</v>
      </c>
      <c r="B902" s="419"/>
      <c r="C902" s="419"/>
      <c r="D902" s="419"/>
      <c r="E902" s="420"/>
    </row>
    <row r="903" spans="1:23" ht="15" thickBot="1" x14ac:dyDescent="0.35">
      <c r="A903" s="418" t="s">
        <v>143</v>
      </c>
      <c r="B903" s="419"/>
      <c r="C903" s="420"/>
      <c r="D903" s="421" t="s">
        <v>126</v>
      </c>
      <c r="E903" s="421" t="s">
        <v>144</v>
      </c>
    </row>
    <row r="904" spans="1:23" x14ac:dyDescent="0.3">
      <c r="A904" s="332" t="s">
        <v>187</v>
      </c>
      <c r="B904" s="333"/>
      <c r="C904" s="334"/>
      <c r="D904" s="335"/>
      <c r="E904" s="335"/>
    </row>
    <row r="905" spans="1:23" x14ac:dyDescent="0.3">
      <c r="A905" s="326" t="s">
        <v>149</v>
      </c>
      <c r="B905" s="327"/>
      <c r="C905" s="328"/>
      <c r="D905" s="320"/>
      <c r="E905" s="320"/>
    </row>
    <row r="906" spans="1:23" x14ac:dyDescent="0.3">
      <c r="A906" s="343" t="s">
        <v>151</v>
      </c>
      <c r="B906" s="344"/>
      <c r="C906" s="345"/>
      <c r="D906" s="346"/>
      <c r="E906" s="346"/>
    </row>
    <row r="907" spans="1:23" ht="15" thickBot="1" x14ac:dyDescent="0.35">
      <c r="A907" s="329" t="s">
        <v>142</v>
      </c>
      <c r="B907" s="330"/>
      <c r="C907" s="331"/>
      <c r="D907" s="321"/>
      <c r="E907" s="321"/>
    </row>
    <row r="909" spans="1:23" s="163" customFormat="1" ht="46.8" x14ac:dyDescent="0.3">
      <c r="A909" s="422" t="s">
        <v>206</v>
      </c>
      <c r="B909" s="422" t="s">
        <v>35</v>
      </c>
      <c r="C909" s="422" t="s">
        <v>189</v>
      </c>
      <c r="D909" s="422" t="s">
        <v>207</v>
      </c>
      <c r="E909" s="422" t="s">
        <v>194</v>
      </c>
      <c r="F909" s="422" t="s">
        <v>154</v>
      </c>
      <c r="G909" s="423" t="s">
        <v>97</v>
      </c>
      <c r="H909" s="555" t="s">
        <v>5</v>
      </c>
      <c r="I909" s="423" t="s">
        <v>145</v>
      </c>
      <c r="J909" s="423" t="s">
        <v>190</v>
      </c>
      <c r="K909" s="423" t="s">
        <v>211</v>
      </c>
      <c r="L909" s="423" t="s">
        <v>153</v>
      </c>
      <c r="M909" s="423" t="s">
        <v>191</v>
      </c>
      <c r="N909" s="423"/>
      <c r="O909" s="423"/>
      <c r="P909" s="423"/>
      <c r="Q909" s="423" t="s">
        <v>192</v>
      </c>
      <c r="U909" s="465"/>
      <c r="V909" s="465"/>
      <c r="W909" s="465"/>
    </row>
    <row r="910" spans="1:23" s="312" customFormat="1" x14ac:dyDescent="0.3">
      <c r="A910" s="338">
        <v>1</v>
      </c>
      <c r="B910" s="338"/>
      <c r="C910" s="338"/>
      <c r="D910" s="349"/>
      <c r="E910" s="338"/>
      <c r="F910" s="338"/>
      <c r="G910" s="338"/>
      <c r="H910" s="542"/>
      <c r="I910" s="339"/>
      <c r="J910" s="339"/>
      <c r="K910" s="338"/>
      <c r="L910" s="349"/>
      <c r="O910" s="338"/>
      <c r="P910" s="338"/>
      <c r="Q910" s="338"/>
      <c r="U910" s="470"/>
      <c r="V910" s="470"/>
      <c r="W910" s="470"/>
    </row>
    <row r="911" spans="1:23" s="312" customFormat="1" x14ac:dyDescent="0.3">
      <c r="A911" s="338"/>
      <c r="B911" s="338"/>
      <c r="C911" s="338"/>
      <c r="D911" s="349"/>
      <c r="E911" s="338"/>
      <c r="F911" s="338"/>
      <c r="G911" s="338"/>
      <c r="H911" s="542"/>
      <c r="I911" s="339"/>
      <c r="J911" s="339"/>
      <c r="K911" s="338"/>
      <c r="L911" s="349"/>
      <c r="M911" s="338"/>
      <c r="N911" s="338"/>
      <c r="O911" s="338"/>
      <c r="P911" s="338"/>
      <c r="Q911" s="338"/>
      <c r="U911" s="470"/>
      <c r="V911" s="470"/>
      <c r="W911" s="470"/>
    </row>
    <row r="912" spans="1:23" s="312" customFormat="1" x14ac:dyDescent="0.3">
      <c r="A912" s="338"/>
      <c r="B912" s="338"/>
      <c r="C912" s="338"/>
      <c r="D912" s="349"/>
      <c r="E912" s="338"/>
      <c r="F912" s="338"/>
      <c r="G912" s="338"/>
      <c r="H912" s="542"/>
      <c r="I912" s="339"/>
      <c r="J912" s="339"/>
      <c r="K912" s="338"/>
      <c r="L912" s="349"/>
      <c r="M912" s="338"/>
      <c r="N912" s="338"/>
      <c r="O912" s="338"/>
      <c r="P912" s="338"/>
      <c r="Q912" s="347"/>
      <c r="U912" s="470"/>
      <c r="V912" s="470"/>
      <c r="W912" s="470"/>
    </row>
    <row r="913" spans="1:23" s="312" customFormat="1" x14ac:dyDescent="0.3">
      <c r="A913" s="338"/>
      <c r="B913" s="338"/>
      <c r="C913" s="338"/>
      <c r="D913" s="338"/>
      <c r="E913" s="338"/>
      <c r="F913" s="338"/>
      <c r="G913" s="338"/>
      <c r="H913" s="544"/>
      <c r="I913" s="348"/>
      <c r="J913" s="348" t="s">
        <v>210</v>
      </c>
      <c r="K913" s="338">
        <f>SUM(K910:K912)</f>
        <v>0</v>
      </c>
      <c r="L913" s="338"/>
      <c r="M913" s="338"/>
      <c r="N913" s="338"/>
      <c r="O913" s="338"/>
      <c r="P913" s="338"/>
      <c r="U913" s="470"/>
      <c r="V913" s="470"/>
      <c r="W913" s="470"/>
    </row>
    <row r="914" spans="1:23" ht="15" thickBot="1" x14ac:dyDescent="0.35"/>
    <row r="915" spans="1:23" ht="15" thickBot="1" x14ac:dyDescent="0.35">
      <c r="A915" s="418" t="s">
        <v>306</v>
      </c>
      <c r="B915" s="419"/>
      <c r="C915" s="419"/>
      <c r="D915" s="419"/>
      <c r="E915" s="420"/>
    </row>
    <row r="916" spans="1:23" ht="15" thickBot="1" x14ac:dyDescent="0.35">
      <c r="A916" s="418" t="s">
        <v>143</v>
      </c>
      <c r="B916" s="419"/>
      <c r="C916" s="420"/>
      <c r="D916" s="421" t="s">
        <v>126</v>
      </c>
      <c r="E916" s="421" t="s">
        <v>144</v>
      </c>
    </row>
    <row r="917" spans="1:23" x14ac:dyDescent="0.3">
      <c r="A917" s="332" t="s">
        <v>187</v>
      </c>
      <c r="B917" s="333"/>
      <c r="C917" s="334"/>
      <c r="D917" s="335"/>
      <c r="E917" s="335"/>
    </row>
    <row r="918" spans="1:23" x14ac:dyDescent="0.3">
      <c r="A918" s="326" t="s">
        <v>149</v>
      </c>
      <c r="B918" s="327"/>
      <c r="C918" s="328"/>
      <c r="D918" s="320"/>
      <c r="E918" s="320"/>
    </row>
    <row r="919" spans="1:23" x14ac:dyDescent="0.3">
      <c r="A919" s="343" t="s">
        <v>151</v>
      </c>
      <c r="B919" s="344"/>
      <c r="C919" s="345"/>
      <c r="D919" s="346"/>
      <c r="E919" s="346"/>
    </row>
    <row r="920" spans="1:23" x14ac:dyDescent="0.3">
      <c r="A920" s="343" t="s">
        <v>142</v>
      </c>
      <c r="B920" s="344"/>
      <c r="C920" s="345"/>
      <c r="D920" s="346"/>
      <c r="E920" s="346"/>
    </row>
    <row r="921" spans="1:23" ht="15" thickBot="1" x14ac:dyDescent="0.35">
      <c r="A921" s="329" t="s">
        <v>125</v>
      </c>
      <c r="B921" s="330"/>
      <c r="C921" s="331"/>
      <c r="D921" s="321"/>
      <c r="E921" s="321"/>
    </row>
    <row r="923" spans="1:23" s="163" customFormat="1" ht="46.8" x14ac:dyDescent="0.3">
      <c r="A923" s="422" t="s">
        <v>206</v>
      </c>
      <c r="B923" s="422" t="s">
        <v>35</v>
      </c>
      <c r="C923" s="422" t="s">
        <v>189</v>
      </c>
      <c r="D923" s="422" t="s">
        <v>207</v>
      </c>
      <c r="E923" s="422" t="s">
        <v>96</v>
      </c>
      <c r="F923" s="422" t="s">
        <v>16</v>
      </c>
      <c r="G923" s="423" t="s">
        <v>97</v>
      </c>
      <c r="H923" s="555" t="s">
        <v>5</v>
      </c>
      <c r="I923" s="423" t="s">
        <v>145</v>
      </c>
      <c r="J923" s="423" t="s">
        <v>190</v>
      </c>
      <c r="K923" s="423" t="s">
        <v>211</v>
      </c>
      <c r="L923" s="423" t="s">
        <v>153</v>
      </c>
      <c r="M923" s="423" t="s">
        <v>191</v>
      </c>
      <c r="N923" s="423" t="s">
        <v>212</v>
      </c>
      <c r="O923" s="423"/>
      <c r="P923" s="423"/>
      <c r="Q923" s="423" t="s">
        <v>192</v>
      </c>
      <c r="U923" s="465"/>
      <c r="V923" s="465"/>
      <c r="W923" s="465"/>
    </row>
    <row r="924" spans="1:23" s="312" customFormat="1" x14ac:dyDescent="0.3">
      <c r="A924" s="338">
        <v>1</v>
      </c>
      <c r="B924" s="338"/>
      <c r="C924" s="338"/>
      <c r="D924" s="341"/>
      <c r="E924" s="338"/>
      <c r="F924" s="338"/>
      <c r="G924" s="338"/>
      <c r="H924" s="542"/>
      <c r="I924" s="339"/>
      <c r="J924" s="339"/>
      <c r="K924" s="338"/>
      <c r="L924" s="342"/>
      <c r="O924" s="338"/>
      <c r="P924" s="338"/>
      <c r="Q924" s="338"/>
      <c r="U924" s="470"/>
      <c r="V924" s="470"/>
      <c r="W924" s="470"/>
    </row>
    <row r="925" spans="1:23" s="312" customFormat="1" x14ac:dyDescent="0.3">
      <c r="A925" s="338">
        <v>2</v>
      </c>
      <c r="B925" s="338"/>
      <c r="C925" s="338"/>
      <c r="D925" s="341"/>
      <c r="E925" s="338"/>
      <c r="F925" s="338"/>
      <c r="G925" s="338"/>
      <c r="H925" s="542"/>
      <c r="I925" s="339"/>
      <c r="J925" s="339"/>
      <c r="K925" s="338"/>
      <c r="L925" s="342"/>
      <c r="M925" s="338"/>
      <c r="N925" s="338"/>
      <c r="O925" s="338"/>
      <c r="P925" s="338"/>
      <c r="Q925" s="338"/>
      <c r="U925" s="470"/>
      <c r="V925" s="470"/>
      <c r="W925" s="470"/>
    </row>
    <row r="926" spans="1:23" s="312" customFormat="1" x14ac:dyDescent="0.3">
      <c r="A926" s="338">
        <v>3</v>
      </c>
      <c r="B926" s="338"/>
      <c r="C926" s="338"/>
      <c r="D926" s="341"/>
      <c r="E926" s="338"/>
      <c r="F926" s="338"/>
      <c r="G926" s="338"/>
      <c r="H926" s="542"/>
      <c r="I926" s="339"/>
      <c r="J926" s="339"/>
      <c r="K926" s="338"/>
      <c r="L926" s="342"/>
      <c r="M926" s="338"/>
      <c r="N926" s="338"/>
      <c r="O926" s="338"/>
      <c r="P926" s="338"/>
      <c r="Q926" s="338"/>
      <c r="U926" s="470"/>
      <c r="V926" s="470"/>
      <c r="W926" s="470"/>
    </row>
    <row r="927" spans="1:23" s="312" customFormat="1" x14ac:dyDescent="0.3">
      <c r="A927" s="338">
        <v>4</v>
      </c>
      <c r="B927" s="338"/>
      <c r="C927" s="338"/>
      <c r="D927" s="341"/>
      <c r="E927" s="338"/>
      <c r="F927" s="338"/>
      <c r="G927" s="338"/>
      <c r="H927" s="542"/>
      <c r="I927" s="339"/>
      <c r="J927" s="339"/>
      <c r="K927" s="338"/>
      <c r="L927" s="342"/>
      <c r="M927" s="338"/>
      <c r="N927" s="338"/>
      <c r="O927" s="338"/>
      <c r="P927" s="338"/>
      <c r="Q927" s="347"/>
      <c r="U927" s="470"/>
      <c r="V927" s="470"/>
      <c r="W927" s="470"/>
    </row>
    <row r="928" spans="1:23" s="312" customFormat="1" x14ac:dyDescent="0.3">
      <c r="A928" s="338">
        <v>5</v>
      </c>
      <c r="B928" s="338"/>
      <c r="C928" s="338"/>
      <c r="D928" s="341"/>
      <c r="E928" s="338"/>
      <c r="F928" s="338"/>
      <c r="G928" s="338"/>
      <c r="H928" s="542"/>
      <c r="I928" s="339"/>
      <c r="J928" s="339"/>
      <c r="K928" s="338"/>
      <c r="L928" s="342"/>
      <c r="M928" s="338"/>
      <c r="N928" s="338"/>
      <c r="O928" s="338"/>
      <c r="P928" s="338"/>
      <c r="Q928" s="347"/>
      <c r="U928" s="470"/>
      <c r="V928" s="470"/>
      <c r="W928" s="470"/>
    </row>
    <row r="929" spans="1:23" s="312" customFormat="1" x14ac:dyDescent="0.3">
      <c r="A929" s="338"/>
      <c r="B929" s="338"/>
      <c r="C929" s="338"/>
      <c r="D929" s="338"/>
      <c r="E929" s="338"/>
      <c r="F929" s="338"/>
      <c r="G929" s="338"/>
      <c r="H929" s="544"/>
      <c r="I929" s="348"/>
      <c r="J929" s="348" t="s">
        <v>210</v>
      </c>
      <c r="K929" s="338">
        <f>SUM(K924:K928)</f>
        <v>0</v>
      </c>
      <c r="L929" s="338"/>
      <c r="M929" s="338"/>
      <c r="N929" s="338"/>
      <c r="O929" s="338"/>
      <c r="P929" s="338"/>
      <c r="U929" s="470"/>
      <c r="V929" s="470"/>
      <c r="W929" s="470"/>
    </row>
    <row r="930" spans="1:23" ht="15" thickBot="1" x14ac:dyDescent="0.35"/>
    <row r="931" spans="1:23" ht="15" thickBot="1" x14ac:dyDescent="0.35">
      <c r="A931" s="418" t="s">
        <v>304</v>
      </c>
      <c r="B931" s="419"/>
      <c r="C931" s="419"/>
      <c r="D931" s="419"/>
      <c r="E931" s="420"/>
    </row>
    <row r="932" spans="1:23" ht="15" thickBot="1" x14ac:dyDescent="0.35">
      <c r="A932" s="418" t="s">
        <v>143</v>
      </c>
      <c r="B932" s="419"/>
      <c r="C932" s="420"/>
      <c r="D932" s="421" t="s">
        <v>126</v>
      </c>
      <c r="E932" s="421" t="s">
        <v>144</v>
      </c>
    </row>
    <row r="933" spans="1:23" x14ac:dyDescent="0.3">
      <c r="A933" s="332" t="s">
        <v>187</v>
      </c>
      <c r="B933" s="333"/>
      <c r="C933" s="334"/>
      <c r="D933" s="335"/>
      <c r="E933" s="335"/>
    </row>
    <row r="934" spans="1:23" x14ac:dyDescent="0.3">
      <c r="A934" s="326" t="s">
        <v>155</v>
      </c>
      <c r="B934" s="327"/>
      <c r="C934" s="328"/>
      <c r="D934" s="320"/>
      <c r="E934" s="320"/>
    </row>
    <row r="935" spans="1:23" x14ac:dyDescent="0.3">
      <c r="A935" s="343" t="s">
        <v>125</v>
      </c>
      <c r="B935" s="344"/>
      <c r="C935" s="345"/>
      <c r="D935" s="346"/>
      <c r="E935" s="346"/>
    </row>
    <row r="936" spans="1:23" x14ac:dyDescent="0.3">
      <c r="A936" s="343" t="s">
        <v>195</v>
      </c>
      <c r="B936" s="344"/>
      <c r="C936" s="345"/>
      <c r="D936" s="346"/>
      <c r="E936" s="346"/>
    </row>
    <row r="937" spans="1:23" ht="15" thickBot="1" x14ac:dyDescent="0.35">
      <c r="A937" s="329"/>
      <c r="B937" s="330"/>
      <c r="C937" s="331"/>
      <c r="D937" s="321"/>
      <c r="E937" s="321"/>
    </row>
    <row r="938" spans="1:23" ht="15" thickBot="1" x14ac:dyDescent="0.35"/>
    <row r="939" spans="1:23" ht="15" thickBot="1" x14ac:dyDescent="0.35">
      <c r="A939" s="418" t="s">
        <v>305</v>
      </c>
      <c r="B939" s="419"/>
      <c r="C939" s="419"/>
      <c r="D939" s="419"/>
      <c r="E939" s="420"/>
    </row>
    <row r="940" spans="1:23" ht="15" thickBot="1" x14ac:dyDescent="0.35">
      <c r="A940" s="418" t="s">
        <v>143</v>
      </c>
      <c r="B940" s="419"/>
      <c r="C940" s="420"/>
      <c r="D940" s="421" t="s">
        <v>126</v>
      </c>
      <c r="E940" s="421" t="s">
        <v>144</v>
      </c>
    </row>
    <row r="941" spans="1:23" x14ac:dyDescent="0.3">
      <c r="A941" s="332" t="s">
        <v>187</v>
      </c>
      <c r="B941" s="333"/>
      <c r="C941" s="334"/>
      <c r="D941" s="335"/>
      <c r="E941" s="335"/>
    </row>
    <row r="942" spans="1:23" x14ac:dyDescent="0.3">
      <c r="A942" s="326" t="s">
        <v>149</v>
      </c>
      <c r="B942" s="327"/>
      <c r="C942" s="328"/>
      <c r="D942" s="320"/>
      <c r="E942" s="320"/>
    </row>
    <row r="943" spans="1:23" x14ac:dyDescent="0.3">
      <c r="A943" s="343" t="s">
        <v>156</v>
      </c>
      <c r="B943" s="344"/>
      <c r="C943" s="345"/>
      <c r="D943" s="346"/>
      <c r="E943" s="346"/>
    </row>
    <row r="944" spans="1:23" x14ac:dyDescent="0.3">
      <c r="A944" s="343" t="s">
        <v>142</v>
      </c>
      <c r="B944" s="344"/>
      <c r="C944" s="345"/>
      <c r="D944" s="346"/>
      <c r="E944" s="346"/>
    </row>
    <row r="945" spans="1:6" ht="15" thickBot="1" x14ac:dyDescent="0.35">
      <c r="A945" s="329" t="s">
        <v>125</v>
      </c>
      <c r="B945" s="330"/>
      <c r="C945" s="331"/>
      <c r="D945" s="321"/>
      <c r="E945" s="321"/>
    </row>
    <row r="946" spans="1:6" ht="15" thickBot="1" x14ac:dyDescent="0.35"/>
    <row r="947" spans="1:6" ht="15" thickBot="1" x14ac:dyDescent="0.35">
      <c r="A947" s="418" t="s">
        <v>157</v>
      </c>
      <c r="B947" s="419"/>
      <c r="C947" s="419"/>
      <c r="D947" s="419"/>
      <c r="E947" s="420"/>
    </row>
    <row r="948" spans="1:6" ht="15" thickBot="1" x14ac:dyDescent="0.35">
      <c r="A948" s="418" t="s">
        <v>143</v>
      </c>
      <c r="B948" s="419"/>
      <c r="C948" s="420"/>
      <c r="D948" s="421" t="s">
        <v>126</v>
      </c>
      <c r="E948" s="421" t="s">
        <v>144</v>
      </c>
      <c r="F948" s="421" t="s">
        <v>36</v>
      </c>
    </row>
    <row r="949" spans="1:6" x14ac:dyDescent="0.3">
      <c r="A949" s="332" t="s">
        <v>158</v>
      </c>
      <c r="B949" s="333"/>
      <c r="C949" s="334"/>
      <c r="D949" s="335"/>
      <c r="E949" s="335"/>
      <c r="F949" s="366"/>
    </row>
    <row r="950" spans="1:6" x14ac:dyDescent="0.3">
      <c r="A950" s="332" t="s">
        <v>159</v>
      </c>
      <c r="B950" s="327"/>
      <c r="C950" s="328"/>
      <c r="D950" s="320"/>
      <c r="E950" s="320"/>
      <c r="F950" s="367"/>
    </row>
    <row r="951" spans="1:6" x14ac:dyDescent="0.3">
      <c r="A951" s="343" t="s">
        <v>196</v>
      </c>
      <c r="B951" s="344"/>
      <c r="C951" s="345"/>
      <c r="D951" s="346"/>
      <c r="E951" s="346"/>
      <c r="F951" s="368"/>
    </row>
    <row r="952" spans="1:6" x14ac:dyDescent="0.3">
      <c r="A952" s="343"/>
      <c r="B952" s="344"/>
      <c r="C952" s="345"/>
      <c r="D952" s="346"/>
      <c r="E952" s="346"/>
      <c r="F952" s="368"/>
    </row>
    <row r="953" spans="1:6" ht="15" thickBot="1" x14ac:dyDescent="0.35">
      <c r="A953" s="343"/>
      <c r="B953" s="344"/>
      <c r="C953" s="345"/>
      <c r="D953" s="346"/>
      <c r="E953" s="346"/>
      <c r="F953" s="368"/>
    </row>
    <row r="954" spans="1:6" ht="15" thickBot="1" x14ac:dyDescent="0.35">
      <c r="A954" s="336" t="s">
        <v>197</v>
      </c>
      <c r="B954" s="197"/>
      <c r="C954" s="197"/>
      <c r="D954" s="364"/>
      <c r="E954" s="365"/>
      <c r="F954" s="369"/>
    </row>
    <row r="955" spans="1:6" ht="15" thickBot="1" x14ac:dyDescent="0.35">
      <c r="A955" s="336" t="s">
        <v>198</v>
      </c>
      <c r="B955" s="197"/>
      <c r="C955" s="197"/>
      <c r="D955" s="364"/>
      <c r="E955" s="365"/>
      <c r="F955" s="369"/>
    </row>
    <row r="956" spans="1:6" x14ac:dyDescent="0.3">
      <c r="A956" s="361" t="s">
        <v>199</v>
      </c>
      <c r="B956" s="196"/>
      <c r="C956" s="362"/>
      <c r="D956" s="363"/>
      <c r="E956" s="363"/>
      <c r="F956" s="370"/>
    </row>
    <row r="957" spans="1:6" ht="15" thickBot="1" x14ac:dyDescent="0.35">
      <c r="A957" s="329"/>
      <c r="B957" s="330"/>
      <c r="C957" s="331"/>
      <c r="D957" s="321"/>
      <c r="E957" s="321"/>
      <c r="F957" s="321"/>
    </row>
    <row r="958" spans="1:6" ht="15" thickBot="1" x14ac:dyDescent="0.35"/>
    <row r="959" spans="1:6" ht="15" thickBot="1" x14ac:dyDescent="0.35">
      <c r="A959" s="418" t="s">
        <v>160</v>
      </c>
      <c r="B959" s="419"/>
      <c r="C959" s="419"/>
      <c r="D959" s="419"/>
      <c r="E959" s="420"/>
    </row>
    <row r="960" spans="1:6" ht="15" thickBot="1" x14ac:dyDescent="0.35">
      <c r="A960" s="418" t="s">
        <v>143</v>
      </c>
      <c r="B960" s="419"/>
      <c r="C960" s="420"/>
      <c r="D960" s="421" t="s">
        <v>126</v>
      </c>
      <c r="E960" s="421" t="s">
        <v>144</v>
      </c>
    </row>
    <row r="961" spans="1:15" x14ac:dyDescent="0.3">
      <c r="A961" s="332" t="s">
        <v>207</v>
      </c>
      <c r="B961" s="333"/>
      <c r="C961" s="334"/>
      <c r="D961" s="335"/>
      <c r="E961" s="335"/>
    </row>
    <row r="962" spans="1:15" ht="15" thickBot="1" x14ac:dyDescent="0.35">
      <c r="A962" s="270"/>
      <c r="B962" s="196"/>
      <c r="C962" s="196"/>
      <c r="D962" s="325"/>
      <c r="E962" s="325"/>
      <c r="F962" s="371"/>
    </row>
    <row r="963" spans="1:15" ht="15" thickBot="1" x14ac:dyDescent="0.35">
      <c r="A963" s="418" t="s">
        <v>161</v>
      </c>
      <c r="B963" s="419"/>
      <c r="C963" s="419"/>
      <c r="D963" s="419"/>
      <c r="E963" s="420"/>
    </row>
    <row r="964" spans="1:15" ht="15" thickBot="1" x14ac:dyDescent="0.35">
      <c r="A964" s="418" t="s">
        <v>143</v>
      </c>
      <c r="B964" s="419"/>
      <c r="C964" s="420"/>
      <c r="D964" s="421" t="s">
        <v>126</v>
      </c>
      <c r="E964" s="421" t="s">
        <v>144</v>
      </c>
      <c r="F964" s="421" t="s">
        <v>162</v>
      </c>
      <c r="G964" s="421" t="s">
        <v>164</v>
      </c>
    </row>
    <row r="965" spans="1:15" x14ac:dyDescent="0.3">
      <c r="A965" s="317" t="s">
        <v>213</v>
      </c>
      <c r="B965" s="318"/>
      <c r="C965" s="318"/>
      <c r="D965" s="373"/>
      <c r="E965" s="373"/>
      <c r="F965" s="374"/>
      <c r="G965" s="375"/>
    </row>
    <row r="966" spans="1:15" ht="15" thickBot="1" x14ac:dyDescent="0.35">
      <c r="A966" s="379" t="s">
        <v>163</v>
      </c>
      <c r="B966" s="195"/>
      <c r="C966" s="195"/>
      <c r="D966" s="380"/>
      <c r="E966" s="380"/>
      <c r="F966" s="381"/>
      <c r="G966" s="382"/>
    </row>
    <row r="967" spans="1:15" x14ac:dyDescent="0.3">
      <c r="A967" s="317" t="s">
        <v>200</v>
      </c>
      <c r="B967" s="318"/>
      <c r="C967" s="318"/>
      <c r="D967" s="373"/>
      <c r="E967" s="373"/>
      <c r="F967" s="383"/>
      <c r="G967" s="384"/>
    </row>
    <row r="968" spans="1:15" x14ac:dyDescent="0.3">
      <c r="A968" s="319" t="s">
        <v>213</v>
      </c>
      <c r="B968" s="184"/>
      <c r="C968" s="184"/>
      <c r="D968" s="376"/>
      <c r="E968" s="376"/>
      <c r="F968" s="274"/>
      <c r="G968" s="377"/>
    </row>
    <row r="969" spans="1:15" x14ac:dyDescent="0.3">
      <c r="A969" s="319" t="s">
        <v>163</v>
      </c>
      <c r="B969" s="184"/>
      <c r="C969" s="184"/>
      <c r="D969" s="376"/>
      <c r="E969" s="376"/>
      <c r="F969" s="274"/>
      <c r="G969" s="377"/>
    </row>
    <row r="970" spans="1:15" x14ac:dyDescent="0.3">
      <c r="A970" s="319" t="s">
        <v>201</v>
      </c>
      <c r="B970" s="184"/>
      <c r="C970" s="184"/>
      <c r="D970" s="376"/>
      <c r="E970" s="376"/>
      <c r="F970" s="274"/>
      <c r="G970" s="377"/>
    </row>
    <row r="971" spans="1:15" x14ac:dyDescent="0.3">
      <c r="A971" s="487" t="s">
        <v>202</v>
      </c>
      <c r="B971" s="488"/>
      <c r="C971" s="488"/>
      <c r="D971" s="489"/>
      <c r="E971" s="490"/>
      <c r="F971" s="491"/>
      <c r="G971" s="370"/>
    </row>
    <row r="972" spans="1:15" x14ac:dyDescent="0.3">
      <c r="A972" s="270"/>
      <c r="B972" s="196"/>
      <c r="C972" s="196"/>
      <c r="D972" s="404"/>
      <c r="E972" s="325"/>
      <c r="F972" s="405"/>
      <c r="G972" s="406"/>
      <c r="H972" s="548"/>
      <c r="I972" s="172"/>
      <c r="J972" s="172"/>
      <c r="K972" s="172"/>
      <c r="L972" s="172"/>
      <c r="M972" s="172"/>
      <c r="N972" s="172"/>
      <c r="O972" s="172"/>
    </row>
    <row r="973" spans="1:15" x14ac:dyDescent="0.3">
      <c r="A973" s="270"/>
      <c r="B973" s="196"/>
      <c r="C973" s="196"/>
      <c r="D973" s="404"/>
      <c r="E973" s="325"/>
      <c r="F973" s="405"/>
      <c r="G973" s="406"/>
      <c r="H973" s="548"/>
      <c r="I973" s="172"/>
      <c r="J973" s="172"/>
      <c r="K973" s="172"/>
      <c r="L973" s="172"/>
      <c r="M973" s="172"/>
      <c r="N973" s="172"/>
      <c r="O973" s="172"/>
    </row>
    <row r="974" spans="1:15" x14ac:dyDescent="0.3">
      <c r="A974" s="270"/>
      <c r="B974" s="196"/>
      <c r="C974" s="196"/>
      <c r="D974" s="404"/>
      <c r="E974" s="325"/>
      <c r="F974" s="405"/>
      <c r="G974" s="406"/>
      <c r="H974" s="548"/>
      <c r="I974" s="172"/>
      <c r="J974" s="172"/>
      <c r="K974" s="172"/>
      <c r="L974" s="172"/>
      <c r="M974" s="172"/>
      <c r="N974" s="172"/>
      <c r="O974" s="172"/>
    </row>
    <row r="975" spans="1:15" x14ac:dyDescent="0.3">
      <c r="A975" s="270"/>
      <c r="B975" s="196"/>
      <c r="C975" s="196"/>
      <c r="D975" s="404"/>
      <c r="E975" s="325"/>
      <c r="F975" s="405"/>
      <c r="G975" s="406"/>
      <c r="H975" s="548"/>
      <c r="I975" s="172"/>
      <c r="J975" s="172"/>
      <c r="K975" s="172"/>
      <c r="L975" s="172"/>
      <c r="M975" s="172"/>
      <c r="N975" s="172"/>
      <c r="O975" s="172"/>
    </row>
    <row r="976" spans="1:15" x14ac:dyDescent="0.3">
      <c r="A976" s="270"/>
      <c r="B976" s="196"/>
      <c r="C976" s="196"/>
      <c r="D976" s="404"/>
      <c r="E976" s="325"/>
      <c r="F976" s="405"/>
      <c r="G976" s="406"/>
      <c r="H976" s="548"/>
      <c r="I976" s="172"/>
      <c r="J976" s="172"/>
      <c r="K976" s="172"/>
      <c r="L976" s="172"/>
      <c r="M976" s="172"/>
      <c r="N976" s="172"/>
      <c r="O976" s="172"/>
    </row>
  </sheetData>
  <mergeCells count="1">
    <mergeCell ref="A1:O1"/>
  </mergeCells>
  <printOptions horizontalCentered="1"/>
  <pageMargins left="0.70866141732283472" right="0.70866141732283472" top="0.74803149606299213" bottom="0.74803149606299213" header="0.31496062992125984" footer="0.31496062992125984"/>
  <pageSetup scale="41" fitToHeight="0"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U7"/>
  <sheetViews>
    <sheetView topLeftCell="C1" workbookViewId="0">
      <selection activeCell="C15" sqref="C15:C21"/>
    </sheetView>
  </sheetViews>
  <sheetFormatPr baseColWidth="10" defaultRowHeight="14.4" x14ac:dyDescent="0.3"/>
  <sheetData>
    <row r="3" spans="1:21" x14ac:dyDescent="0.3">
      <c r="B3" s="513">
        <v>40057</v>
      </c>
      <c r="C3" s="513">
        <v>40087</v>
      </c>
      <c r="D3" s="513">
        <v>40118</v>
      </c>
      <c r="E3" s="513">
        <v>40148</v>
      </c>
      <c r="F3" s="513">
        <v>40179</v>
      </c>
      <c r="G3" s="513">
        <v>40210</v>
      </c>
      <c r="H3" s="513">
        <v>40238</v>
      </c>
      <c r="I3" s="513">
        <v>40269</v>
      </c>
      <c r="J3" s="513">
        <v>40299</v>
      </c>
      <c r="K3" s="513">
        <v>40330</v>
      </c>
      <c r="L3" s="513">
        <v>40360</v>
      </c>
      <c r="M3" s="513">
        <v>40391</v>
      </c>
      <c r="N3" s="513">
        <v>40422</v>
      </c>
      <c r="O3" s="513">
        <v>40452</v>
      </c>
      <c r="P3" s="513">
        <v>40483</v>
      </c>
      <c r="Q3" s="513">
        <v>40513</v>
      </c>
      <c r="R3" s="513">
        <v>40544</v>
      </c>
      <c r="S3" s="513">
        <v>40575</v>
      </c>
      <c r="T3" s="513">
        <v>40603</v>
      </c>
      <c r="U3" s="513">
        <v>40634</v>
      </c>
    </row>
    <row r="4" spans="1:21" x14ac:dyDescent="0.3">
      <c r="A4">
        <v>1</v>
      </c>
      <c r="B4">
        <f>1/30</f>
        <v>3.3333333333333333E-2</v>
      </c>
      <c r="D4" s="515">
        <v>40126</v>
      </c>
      <c r="E4" s="514"/>
      <c r="F4" s="514"/>
      <c r="G4" s="514"/>
      <c r="H4" s="514"/>
      <c r="I4" s="514"/>
      <c r="J4" s="514"/>
      <c r="K4" s="514"/>
      <c r="L4" s="516">
        <v>40365</v>
      </c>
    </row>
    <row r="5" spans="1:21" x14ac:dyDescent="0.3">
      <c r="A5">
        <v>10</v>
      </c>
      <c r="D5" s="515">
        <v>40134</v>
      </c>
      <c r="E5" s="514"/>
      <c r="F5" s="514"/>
      <c r="G5" s="516">
        <v>40226</v>
      </c>
    </row>
    <row r="6" spans="1:21" x14ac:dyDescent="0.3">
      <c r="A6">
        <v>4</v>
      </c>
      <c r="J6" s="515">
        <v>40301</v>
      </c>
      <c r="K6" s="514"/>
      <c r="L6" s="514"/>
      <c r="M6" s="514"/>
      <c r="N6" s="514"/>
      <c r="O6" s="514"/>
      <c r="P6" s="514"/>
      <c r="Q6" s="515">
        <v>40518</v>
      </c>
    </row>
    <row r="7" spans="1:21" x14ac:dyDescent="0.3">
      <c r="A7">
        <v>2</v>
      </c>
      <c r="G7" s="515">
        <v>40217</v>
      </c>
      <c r="J7" s="515">
        <v>40322</v>
      </c>
      <c r="K7" s="514"/>
      <c r="L7" s="514"/>
      <c r="M7" s="514"/>
      <c r="N7" s="514"/>
      <c r="O7" s="514"/>
      <c r="P7" s="514"/>
      <c r="Q7" s="514"/>
      <c r="R7" s="514"/>
      <c r="S7" s="515">
        <v>40588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89"/>
  <sheetViews>
    <sheetView topLeftCell="A9" zoomScale="85" zoomScaleNormal="85" zoomScaleSheetLayoutView="100" workbookViewId="0">
      <selection activeCell="C15" sqref="C15:C21"/>
    </sheetView>
  </sheetViews>
  <sheetFormatPr baseColWidth="10" defaultColWidth="11.44140625" defaultRowHeight="13.2" x14ac:dyDescent="0.25"/>
  <cols>
    <col min="1" max="1" width="12.44140625" style="2" bestFit="1" customWidth="1"/>
    <col min="2" max="2" width="40.33203125" style="2" customWidth="1"/>
    <col min="3" max="3" width="26.109375" style="2" customWidth="1"/>
    <col min="4" max="5" width="14.5546875" style="26" hidden="1" customWidth="1"/>
    <col min="6" max="6" width="15.6640625" style="26" hidden="1" customWidth="1"/>
    <col min="7" max="7" width="17.88671875" style="2" hidden="1" customWidth="1"/>
    <col min="8" max="8" width="19" style="2" customWidth="1"/>
    <col min="9" max="9" width="22.44140625" style="2" hidden="1" customWidth="1"/>
    <col min="10" max="10" width="23.33203125" style="2" hidden="1" customWidth="1"/>
    <col min="11" max="12" width="11.44140625" style="2" hidden="1" customWidth="1"/>
    <col min="13" max="13" width="12.33203125" style="2" bestFit="1" customWidth="1"/>
    <col min="14" max="16384" width="11.44140625" style="2"/>
  </cols>
  <sheetData>
    <row r="1" spans="1:13" s="24" customFormat="1" ht="12" x14ac:dyDescent="0.2">
      <c r="A1" s="651" t="str">
        <f>TECNICA!A1</f>
        <v>UNIVERSIDAD DE NARIÑO</v>
      </c>
      <c r="B1" s="651"/>
      <c r="C1" s="651"/>
      <c r="D1" s="651"/>
      <c r="E1" s="651"/>
      <c r="F1" s="651"/>
      <c r="G1" s="651"/>
      <c r="H1" s="651"/>
      <c r="I1" s="224"/>
      <c r="J1" s="23"/>
      <c r="K1" s="23"/>
      <c r="L1" s="23"/>
    </row>
    <row r="2" spans="1:13" s="24" customFormat="1" ht="36.75" customHeight="1" x14ac:dyDescent="0.25">
      <c r="A2" s="648" t="str">
        <f>TECNICA!A6</f>
        <v>OBJETO: CONSTRUCCION SEGUNDA FASE EDIFICIO FACE, BLOQUE 1, SECTOR NORTE, UNIVERSIDAD DE NARIÑO SEDE TOROBAJO - DEPARTAMENTO DE NARIÑO.</v>
      </c>
      <c r="B2" s="648"/>
      <c r="C2" s="648"/>
      <c r="D2" s="648"/>
      <c r="E2" s="648"/>
      <c r="F2" s="648"/>
      <c r="G2" s="648"/>
      <c r="H2" s="648"/>
      <c r="I2" s="222"/>
      <c r="J2" s="23"/>
      <c r="K2" s="23"/>
      <c r="L2" s="23"/>
    </row>
    <row r="3" spans="1:13" s="24" customFormat="1" ht="12" x14ac:dyDescent="0.25">
      <c r="A3" s="649" t="str">
        <f>TECNICA!A5</f>
        <v>CONVOCATORIA PUBLICA No. 119602 de 2019</v>
      </c>
      <c r="B3" s="649"/>
      <c r="C3" s="649"/>
      <c r="D3" s="649"/>
      <c r="E3" s="649"/>
      <c r="F3" s="649"/>
      <c r="G3" s="649"/>
      <c r="H3" s="649"/>
      <c r="I3" s="223"/>
      <c r="J3" s="23"/>
      <c r="K3" s="23"/>
      <c r="L3" s="23"/>
    </row>
    <row r="4" spans="1:13" customFormat="1" ht="14.4" x14ac:dyDescent="0.3">
      <c r="A4" s="650" t="str">
        <f>TECNICA!A7</f>
        <v>FECHA:   29 de agosto de 2019</v>
      </c>
      <c r="B4" s="650"/>
      <c r="C4" s="650"/>
      <c r="D4" s="650"/>
      <c r="E4" s="650"/>
      <c r="F4" s="650"/>
      <c r="G4" s="650"/>
      <c r="H4" s="650"/>
      <c r="I4" s="25"/>
      <c r="J4" s="25"/>
      <c r="K4" s="25"/>
      <c r="L4" s="25"/>
    </row>
    <row r="5" spans="1:13" customFormat="1" ht="14.4" x14ac:dyDescent="0.3">
      <c r="A5" s="6"/>
      <c r="B5" s="6"/>
      <c r="C5" s="6"/>
      <c r="D5" s="6"/>
      <c r="E5" s="6"/>
      <c r="F5" s="6"/>
      <c r="G5" s="6"/>
      <c r="H5" s="6"/>
      <c r="I5" s="6"/>
      <c r="J5" s="25"/>
      <c r="K5" s="25"/>
      <c r="L5" s="25"/>
    </row>
    <row r="6" spans="1:13" x14ac:dyDescent="0.25">
      <c r="A6" s="646" t="s">
        <v>29</v>
      </c>
      <c r="B6" s="646"/>
      <c r="C6" s="646"/>
      <c r="D6" s="646"/>
      <c r="E6" s="646"/>
      <c r="F6" s="646"/>
      <c r="G6" s="646"/>
      <c r="H6" s="646"/>
      <c r="I6" s="6"/>
    </row>
    <row r="7" spans="1:13" ht="14.4" x14ac:dyDescent="0.3">
      <c r="I7" s="27">
        <f>+H7*C9</f>
        <v>0</v>
      </c>
    </row>
    <row r="8" spans="1:13" x14ac:dyDescent="0.25">
      <c r="H8" s="3"/>
      <c r="I8" s="3"/>
      <c r="J8" s="3"/>
      <c r="K8" s="3"/>
      <c r="M8" s="28"/>
    </row>
    <row r="9" spans="1:13" x14ac:dyDescent="0.25">
      <c r="A9" s="2" t="s">
        <v>109</v>
      </c>
      <c r="C9" s="155">
        <f>+TECNICA!D25</f>
        <v>1288533826</v>
      </c>
      <c r="F9" s="282"/>
      <c r="H9" s="3"/>
      <c r="I9" s="3"/>
      <c r="J9" s="30">
        <f>+C9/C11</f>
        <v>1288533826</v>
      </c>
      <c r="K9" s="3"/>
    </row>
    <row r="10" spans="1:13" x14ac:dyDescent="0.25">
      <c r="A10" s="14" t="s">
        <v>30</v>
      </c>
      <c r="C10" s="155">
        <f>+GEOMEAN(C14:C23)</f>
        <v>1288533826</v>
      </c>
      <c r="F10" s="31"/>
      <c r="H10" s="3"/>
      <c r="I10" s="3"/>
      <c r="J10" s="30">
        <f>+GEOMEAN(C14:C23)</f>
        <v>1288533826</v>
      </c>
      <c r="K10" s="32">
        <v>1</v>
      </c>
      <c r="L10" s="2" t="s">
        <v>19</v>
      </c>
    </row>
    <row r="11" spans="1:13" hidden="1" x14ac:dyDescent="0.25">
      <c r="A11" s="2" t="s">
        <v>20</v>
      </c>
      <c r="C11" s="29">
        <v>1</v>
      </c>
      <c r="H11" s="33"/>
      <c r="I11" s="3"/>
      <c r="J11" s="3"/>
      <c r="K11" s="3"/>
    </row>
    <row r="12" spans="1:13" ht="13.8" thickBot="1" x14ac:dyDescent="0.3"/>
    <row r="13" spans="1:13" ht="26.4" x14ac:dyDescent="0.25">
      <c r="A13" s="34" t="s">
        <v>21</v>
      </c>
      <c r="B13" s="35" t="s">
        <v>22</v>
      </c>
      <c r="C13" s="55" t="s">
        <v>23</v>
      </c>
      <c r="D13" s="36" t="s">
        <v>24</v>
      </c>
      <c r="E13" s="36"/>
      <c r="F13" s="36"/>
      <c r="G13" s="35" t="s">
        <v>25</v>
      </c>
      <c r="H13" s="56" t="s">
        <v>31</v>
      </c>
      <c r="I13" s="37" t="s">
        <v>26</v>
      </c>
      <c r="J13" s="38"/>
    </row>
    <row r="14" spans="1:13" x14ac:dyDescent="0.25">
      <c r="A14" s="39"/>
      <c r="B14" s="40"/>
      <c r="C14" s="281">
        <v>1288533826</v>
      </c>
      <c r="D14" s="41"/>
      <c r="E14" s="41"/>
      <c r="F14" s="44">
        <f>+C9</f>
        <v>1288533826</v>
      </c>
      <c r="G14" s="40"/>
      <c r="H14" s="211">
        <f>+MAX(H15:H69)</f>
        <v>0</v>
      </c>
    </row>
    <row r="15" spans="1:13" x14ac:dyDescent="0.25">
      <c r="A15" s="220" t="str">
        <f>+TECNICA!A14</f>
        <v>001</v>
      </c>
      <c r="B15" s="280" t="str">
        <f>+TECNICA!B14</f>
        <v>CONSORCIO UDENAR FACEA 2019</v>
      </c>
      <c r="C15" s="42"/>
      <c r="D15" s="43">
        <f t="shared" ref="D15:D46" si="0">+IF(C15&gt;0,(IF(C15&gt;=0.9*$C$9,C15/$C$11,1)),1)</f>
        <v>1</v>
      </c>
      <c r="E15" s="43" t="str">
        <f>+IF(D15&gt;1,1,"")</f>
        <v/>
      </c>
      <c r="F15" s="44">
        <f>+F14*D15</f>
        <v>1288533826</v>
      </c>
      <c r="G15" s="43">
        <f t="shared" ref="G15:G46" si="1">+IF(D15&lt;0.9*$J$10,0,D15)</f>
        <v>0</v>
      </c>
      <c r="H15" s="153">
        <f>IF(C15&lt;$C$10,100-(($C$10-C15)/$C$10)*100,100+(($C$10-C15)/$C$10)*100)</f>
        <v>0</v>
      </c>
      <c r="I15" s="45" t="str">
        <f t="shared" ref="I15:I69" si="2">+IF(E15="","",(1-$J$9/D15)*100)</f>
        <v/>
      </c>
      <c r="J15" s="46">
        <f t="shared" ref="J15:J69" si="3">IF(H15&lt;&gt;0,C15-$C$9,0)</f>
        <v>0</v>
      </c>
    </row>
    <row r="16" spans="1:13" x14ac:dyDescent="0.25">
      <c r="A16" s="220" t="str">
        <f>+TECNICA!A15</f>
        <v>002</v>
      </c>
      <c r="B16" s="280" t="str">
        <f>+TECNICA!B15</f>
        <v>CONSORCIO EDUCAR 2019</v>
      </c>
      <c r="C16" s="42"/>
      <c r="D16" s="43">
        <f t="shared" si="0"/>
        <v>1</v>
      </c>
      <c r="E16" s="43" t="str">
        <f t="shared" ref="E16:E17" si="4">+IF(D16&gt;1,1,"")</f>
        <v/>
      </c>
      <c r="F16" s="44">
        <f>+F15*D16</f>
        <v>1288533826</v>
      </c>
      <c r="G16" s="43">
        <f t="shared" si="1"/>
        <v>0</v>
      </c>
      <c r="H16" s="153">
        <f t="shared" ref="H16:H17" si="5">IF(C16&lt;$C$10,100-(($C$10-C16)/$C$10)*100,100+(($C$10-C16)/$C$10)*100)</f>
        <v>0</v>
      </c>
      <c r="I16" s="45" t="str">
        <f t="shared" si="2"/>
        <v/>
      </c>
      <c r="J16" s="46">
        <f t="shared" si="3"/>
        <v>0</v>
      </c>
    </row>
    <row r="17" spans="1:23" x14ac:dyDescent="0.25">
      <c r="A17" s="220" t="str">
        <f>+TECNICA!A16</f>
        <v>003</v>
      </c>
      <c r="B17" s="283" t="str">
        <f>+TECNICA!B16</f>
        <v>CONSORCIO CP- UNIVERSIDAD DE NARIÑO</v>
      </c>
      <c r="C17" s="42"/>
      <c r="D17" s="43">
        <f t="shared" si="0"/>
        <v>1</v>
      </c>
      <c r="E17" s="43" t="str">
        <f t="shared" si="4"/>
        <v/>
      </c>
      <c r="F17" s="44">
        <f>+F16*D17</f>
        <v>1288533826</v>
      </c>
      <c r="G17" s="43">
        <f t="shared" si="1"/>
        <v>0</v>
      </c>
      <c r="H17" s="153">
        <f t="shared" si="5"/>
        <v>0</v>
      </c>
      <c r="I17" s="45" t="str">
        <f t="shared" si="2"/>
        <v/>
      </c>
      <c r="J17" s="46">
        <f t="shared" si="3"/>
        <v>0</v>
      </c>
    </row>
    <row r="18" spans="1:23" x14ac:dyDescent="0.25">
      <c r="A18" s="220" t="str">
        <f>+TECNICA!A17</f>
        <v>004</v>
      </c>
      <c r="B18" s="280" t="str">
        <f>+TECNICA!B17</f>
        <v>CONSORCIO JRL</v>
      </c>
      <c r="C18" s="42"/>
      <c r="D18" s="43">
        <f t="shared" si="0"/>
        <v>1</v>
      </c>
      <c r="E18" s="43" t="str">
        <f t="shared" ref="E18:E69" si="6">+IF(D18&gt;1,1,"")</f>
        <v/>
      </c>
      <c r="F18" s="44">
        <f t="shared" ref="F18:F69" si="7">+F17*D18</f>
        <v>1288533826</v>
      </c>
      <c r="G18" s="43">
        <f t="shared" si="1"/>
        <v>0</v>
      </c>
      <c r="H18" s="153">
        <f t="shared" ref="H18:H69" si="8">IF(C18&lt;$C$10,100-(($C$10-C18)/$C$10)*100,100+(($C$10-C18)/$C$10)*100)</f>
        <v>0</v>
      </c>
      <c r="I18" s="45" t="str">
        <f t="shared" si="2"/>
        <v/>
      </c>
      <c r="J18" s="46">
        <f t="shared" si="3"/>
        <v>0</v>
      </c>
    </row>
    <row r="19" spans="1:23" x14ac:dyDescent="0.25">
      <c r="A19" s="220" t="str">
        <f>+TECNICA!A18</f>
        <v>005</v>
      </c>
      <c r="B19" s="280" t="str">
        <f>+TECNICA!B18</f>
        <v>CONSORCIO UNI-INGENIEROS FACEA 2019</v>
      </c>
      <c r="C19" s="42"/>
      <c r="D19" s="43">
        <f t="shared" si="0"/>
        <v>1</v>
      </c>
      <c r="E19" s="43" t="str">
        <f t="shared" si="6"/>
        <v/>
      </c>
      <c r="F19" s="44">
        <f t="shared" si="7"/>
        <v>1288533826</v>
      </c>
      <c r="G19" s="43">
        <f t="shared" si="1"/>
        <v>0</v>
      </c>
      <c r="H19" s="153">
        <f t="shared" si="8"/>
        <v>0</v>
      </c>
      <c r="I19" s="45" t="str">
        <f t="shared" si="2"/>
        <v/>
      </c>
      <c r="J19" s="46">
        <f t="shared" si="3"/>
        <v>0</v>
      </c>
    </row>
    <row r="20" spans="1:23" x14ac:dyDescent="0.25">
      <c r="A20" s="220" t="str">
        <f>+TECNICA!A19</f>
        <v>006</v>
      </c>
      <c r="B20" s="280" t="str">
        <f>+TECNICA!B19</f>
        <v>CONSORCIO GHR</v>
      </c>
      <c r="C20" s="42"/>
      <c r="D20" s="43">
        <f t="shared" si="0"/>
        <v>1</v>
      </c>
      <c r="E20" s="43" t="str">
        <f t="shared" si="6"/>
        <v/>
      </c>
      <c r="F20" s="44">
        <f t="shared" si="7"/>
        <v>1288533826</v>
      </c>
      <c r="G20" s="43">
        <f t="shared" si="1"/>
        <v>0</v>
      </c>
      <c r="H20" s="153">
        <f t="shared" si="8"/>
        <v>0</v>
      </c>
      <c r="I20" s="45" t="str">
        <f t="shared" ref="I20:I21" si="9">+IF(E20="","",(1-$J$9/D20)*100)</f>
        <v/>
      </c>
      <c r="J20" s="46">
        <f t="shared" si="3"/>
        <v>0</v>
      </c>
    </row>
    <row r="21" spans="1:23" x14ac:dyDescent="0.25">
      <c r="A21" s="220" t="str">
        <f>+TECNICA!A20</f>
        <v>007</v>
      </c>
      <c r="B21" s="280" t="str">
        <f>+TECNICA!B20</f>
        <v xml:space="preserve">CONSORCIO FACEA UDENAR </v>
      </c>
      <c r="C21" s="42"/>
      <c r="D21" s="43">
        <f t="shared" si="0"/>
        <v>1</v>
      </c>
      <c r="E21" s="43" t="str">
        <f t="shared" si="6"/>
        <v/>
      </c>
      <c r="F21" s="44">
        <f t="shared" si="7"/>
        <v>1288533826</v>
      </c>
      <c r="G21" s="43">
        <f t="shared" si="1"/>
        <v>0</v>
      </c>
      <c r="H21" s="153">
        <f t="shared" si="8"/>
        <v>0</v>
      </c>
      <c r="I21" s="45" t="str">
        <f t="shared" si="9"/>
        <v/>
      </c>
      <c r="J21" s="46">
        <f t="shared" si="3"/>
        <v>0</v>
      </c>
      <c r="W21" s="2">
        <f>35.95/1.22/2.44</f>
        <v>12.076726686374633</v>
      </c>
    </row>
    <row r="22" spans="1:23" x14ac:dyDescent="0.25">
      <c r="A22" s="220" t="str">
        <f>+TECNICA!A21</f>
        <v>008</v>
      </c>
      <c r="B22" s="280">
        <f>+TECNICA!B21</f>
        <v>0</v>
      </c>
      <c r="C22" s="42"/>
      <c r="D22" s="43">
        <f t="shared" si="0"/>
        <v>1</v>
      </c>
      <c r="E22" s="43" t="str">
        <f t="shared" si="6"/>
        <v/>
      </c>
      <c r="F22" s="44">
        <f t="shared" si="7"/>
        <v>1288533826</v>
      </c>
      <c r="G22" s="43">
        <f t="shared" si="1"/>
        <v>0</v>
      </c>
      <c r="H22" s="153">
        <f t="shared" si="8"/>
        <v>0</v>
      </c>
      <c r="I22" s="45" t="str">
        <f t="shared" si="2"/>
        <v/>
      </c>
      <c r="J22" s="46">
        <f t="shared" si="3"/>
        <v>0</v>
      </c>
    </row>
    <row r="23" spans="1:23" x14ac:dyDescent="0.25">
      <c r="A23" s="220" t="str">
        <f>+TECNICA!A22</f>
        <v>009</v>
      </c>
      <c r="B23" s="283">
        <f>+TECNICA!B22</f>
        <v>0</v>
      </c>
      <c r="C23" s="42"/>
      <c r="D23" s="43">
        <f t="shared" si="0"/>
        <v>1</v>
      </c>
      <c r="E23" s="43" t="str">
        <f t="shared" si="6"/>
        <v/>
      </c>
      <c r="F23" s="44">
        <f t="shared" si="7"/>
        <v>1288533826</v>
      </c>
      <c r="G23" s="43">
        <f t="shared" si="1"/>
        <v>0</v>
      </c>
      <c r="H23" s="153">
        <f t="shared" si="8"/>
        <v>0</v>
      </c>
      <c r="I23" s="45" t="str">
        <f t="shared" si="2"/>
        <v/>
      </c>
      <c r="J23" s="46">
        <f t="shared" si="3"/>
        <v>0</v>
      </c>
    </row>
    <row r="24" spans="1:23" hidden="1" x14ac:dyDescent="0.25">
      <c r="A24" s="220">
        <f>+TECNICA!A23</f>
        <v>0</v>
      </c>
      <c r="B24" s="280">
        <f>+TECNICA!B24</f>
        <v>0</v>
      </c>
      <c r="C24" s="42"/>
      <c r="D24" s="43">
        <f t="shared" si="0"/>
        <v>1</v>
      </c>
      <c r="E24" s="43" t="str">
        <f t="shared" si="6"/>
        <v/>
      </c>
      <c r="F24" s="44">
        <f t="shared" si="7"/>
        <v>1288533826</v>
      </c>
      <c r="G24" s="43">
        <f t="shared" si="1"/>
        <v>0</v>
      </c>
      <c r="H24" s="153">
        <f t="shared" si="8"/>
        <v>0</v>
      </c>
      <c r="I24" s="45" t="str">
        <f t="shared" si="2"/>
        <v/>
      </c>
      <c r="J24" s="46">
        <f t="shared" si="3"/>
        <v>0</v>
      </c>
    </row>
    <row r="25" spans="1:23" hidden="1" x14ac:dyDescent="0.25">
      <c r="A25" s="220"/>
      <c r="B25" s="40"/>
      <c r="C25" s="47"/>
      <c r="D25" s="43">
        <f t="shared" si="0"/>
        <v>1</v>
      </c>
      <c r="E25" s="43" t="str">
        <f t="shared" si="6"/>
        <v/>
      </c>
      <c r="F25" s="44">
        <f t="shared" si="7"/>
        <v>1288533826</v>
      </c>
      <c r="G25" s="43">
        <f t="shared" si="1"/>
        <v>0</v>
      </c>
      <c r="H25" s="153">
        <f t="shared" si="8"/>
        <v>0</v>
      </c>
      <c r="I25" s="45" t="str">
        <f t="shared" si="2"/>
        <v/>
      </c>
      <c r="J25" s="46">
        <f t="shared" si="3"/>
        <v>0</v>
      </c>
    </row>
    <row r="26" spans="1:23" hidden="1" x14ac:dyDescent="0.25">
      <c r="A26" s="39">
        <v>12</v>
      </c>
      <c r="B26" s="40"/>
      <c r="C26" s="47"/>
      <c r="D26" s="43">
        <f t="shared" si="0"/>
        <v>1</v>
      </c>
      <c r="E26" s="43" t="str">
        <f t="shared" si="6"/>
        <v/>
      </c>
      <c r="F26" s="44">
        <f t="shared" si="7"/>
        <v>1288533826</v>
      </c>
      <c r="G26" s="43">
        <f t="shared" si="1"/>
        <v>0</v>
      </c>
      <c r="H26" s="153">
        <f t="shared" si="8"/>
        <v>0</v>
      </c>
      <c r="I26" s="45" t="str">
        <f t="shared" si="2"/>
        <v/>
      </c>
      <c r="J26" s="46">
        <f t="shared" si="3"/>
        <v>0</v>
      </c>
    </row>
    <row r="27" spans="1:23" hidden="1" x14ac:dyDescent="0.25">
      <c r="A27" s="39">
        <v>13</v>
      </c>
      <c r="B27" s="40"/>
      <c r="C27" s="47"/>
      <c r="D27" s="43">
        <f t="shared" si="0"/>
        <v>1</v>
      </c>
      <c r="E27" s="43" t="str">
        <f t="shared" si="6"/>
        <v/>
      </c>
      <c r="F27" s="44">
        <f t="shared" si="7"/>
        <v>1288533826</v>
      </c>
      <c r="G27" s="43">
        <f t="shared" si="1"/>
        <v>0</v>
      </c>
      <c r="H27" s="153">
        <f t="shared" si="8"/>
        <v>0</v>
      </c>
      <c r="I27" s="45" t="str">
        <f t="shared" si="2"/>
        <v/>
      </c>
      <c r="J27" s="46">
        <f t="shared" si="3"/>
        <v>0</v>
      </c>
    </row>
    <row r="28" spans="1:23" hidden="1" x14ac:dyDescent="0.25">
      <c r="A28" s="39">
        <v>14</v>
      </c>
      <c r="B28" s="40"/>
      <c r="C28" s="47"/>
      <c r="D28" s="43">
        <f t="shared" si="0"/>
        <v>1</v>
      </c>
      <c r="E28" s="43" t="str">
        <f t="shared" si="6"/>
        <v/>
      </c>
      <c r="F28" s="44">
        <f t="shared" si="7"/>
        <v>1288533826</v>
      </c>
      <c r="G28" s="43">
        <f t="shared" si="1"/>
        <v>0</v>
      </c>
      <c r="H28" s="153">
        <f t="shared" si="8"/>
        <v>0</v>
      </c>
      <c r="I28" s="45" t="str">
        <f t="shared" si="2"/>
        <v/>
      </c>
      <c r="J28" s="46">
        <f t="shared" si="3"/>
        <v>0</v>
      </c>
    </row>
    <row r="29" spans="1:23" hidden="1" x14ac:dyDescent="0.25">
      <c r="A29" s="39">
        <v>15</v>
      </c>
      <c r="B29" s="40"/>
      <c r="C29" s="47"/>
      <c r="D29" s="43">
        <f t="shared" si="0"/>
        <v>1</v>
      </c>
      <c r="E29" s="43" t="str">
        <f t="shared" si="6"/>
        <v/>
      </c>
      <c r="F29" s="44">
        <f t="shared" si="7"/>
        <v>1288533826</v>
      </c>
      <c r="G29" s="43">
        <f t="shared" si="1"/>
        <v>0</v>
      </c>
      <c r="H29" s="153">
        <f t="shared" si="8"/>
        <v>0</v>
      </c>
      <c r="I29" s="45" t="str">
        <f t="shared" si="2"/>
        <v/>
      </c>
      <c r="J29" s="46">
        <f t="shared" si="3"/>
        <v>0</v>
      </c>
    </row>
    <row r="30" spans="1:23" hidden="1" x14ac:dyDescent="0.25">
      <c r="A30" s="39">
        <v>16</v>
      </c>
      <c r="B30" s="40"/>
      <c r="C30" s="47"/>
      <c r="D30" s="43">
        <f t="shared" si="0"/>
        <v>1</v>
      </c>
      <c r="E30" s="43" t="str">
        <f t="shared" si="6"/>
        <v/>
      </c>
      <c r="F30" s="44">
        <f t="shared" si="7"/>
        <v>1288533826</v>
      </c>
      <c r="G30" s="43">
        <f t="shared" si="1"/>
        <v>0</v>
      </c>
      <c r="H30" s="153">
        <f t="shared" si="8"/>
        <v>0</v>
      </c>
      <c r="I30" s="45" t="str">
        <f t="shared" si="2"/>
        <v/>
      </c>
      <c r="J30" s="46">
        <f t="shared" si="3"/>
        <v>0</v>
      </c>
    </row>
    <row r="31" spans="1:23" hidden="1" x14ac:dyDescent="0.25">
      <c r="A31" s="39">
        <v>17</v>
      </c>
      <c r="B31" s="40"/>
      <c r="C31" s="47"/>
      <c r="D31" s="43">
        <f t="shared" si="0"/>
        <v>1</v>
      </c>
      <c r="E31" s="43" t="str">
        <f t="shared" si="6"/>
        <v/>
      </c>
      <c r="F31" s="44">
        <f t="shared" si="7"/>
        <v>1288533826</v>
      </c>
      <c r="G31" s="43">
        <f t="shared" si="1"/>
        <v>0</v>
      </c>
      <c r="H31" s="153">
        <f t="shared" si="8"/>
        <v>0</v>
      </c>
      <c r="I31" s="45" t="str">
        <f t="shared" si="2"/>
        <v/>
      </c>
      <c r="J31" s="46">
        <f t="shared" si="3"/>
        <v>0</v>
      </c>
    </row>
    <row r="32" spans="1:23" hidden="1" x14ac:dyDescent="0.25">
      <c r="A32" s="39">
        <v>18</v>
      </c>
      <c r="B32" s="40"/>
      <c r="C32" s="47"/>
      <c r="D32" s="43">
        <f t="shared" si="0"/>
        <v>1</v>
      </c>
      <c r="E32" s="43" t="str">
        <f t="shared" si="6"/>
        <v/>
      </c>
      <c r="F32" s="44">
        <f t="shared" si="7"/>
        <v>1288533826</v>
      </c>
      <c r="G32" s="43">
        <f t="shared" si="1"/>
        <v>0</v>
      </c>
      <c r="H32" s="153">
        <f t="shared" si="8"/>
        <v>0</v>
      </c>
      <c r="I32" s="45" t="str">
        <f t="shared" si="2"/>
        <v/>
      </c>
      <c r="J32" s="46">
        <f t="shared" si="3"/>
        <v>0</v>
      </c>
    </row>
    <row r="33" spans="1:10" hidden="1" x14ac:dyDescent="0.25">
      <c r="A33" s="39">
        <v>19</v>
      </c>
      <c r="B33" s="40"/>
      <c r="C33" s="47"/>
      <c r="D33" s="43">
        <f t="shared" si="0"/>
        <v>1</v>
      </c>
      <c r="E33" s="43" t="str">
        <f t="shared" si="6"/>
        <v/>
      </c>
      <c r="F33" s="44">
        <f t="shared" si="7"/>
        <v>1288533826</v>
      </c>
      <c r="G33" s="43">
        <f t="shared" si="1"/>
        <v>0</v>
      </c>
      <c r="H33" s="153">
        <f t="shared" si="8"/>
        <v>0</v>
      </c>
      <c r="I33" s="45" t="str">
        <f t="shared" si="2"/>
        <v/>
      </c>
      <c r="J33" s="46">
        <f t="shared" si="3"/>
        <v>0</v>
      </c>
    </row>
    <row r="34" spans="1:10" hidden="1" x14ac:dyDescent="0.25">
      <c r="A34" s="39">
        <v>20</v>
      </c>
      <c r="B34" s="40"/>
      <c r="C34" s="47"/>
      <c r="D34" s="43">
        <f t="shared" si="0"/>
        <v>1</v>
      </c>
      <c r="E34" s="43" t="str">
        <f t="shared" si="6"/>
        <v/>
      </c>
      <c r="F34" s="44">
        <f t="shared" si="7"/>
        <v>1288533826</v>
      </c>
      <c r="G34" s="43">
        <f t="shared" si="1"/>
        <v>0</v>
      </c>
      <c r="H34" s="153">
        <f t="shared" si="8"/>
        <v>0</v>
      </c>
      <c r="I34" s="45" t="str">
        <f t="shared" si="2"/>
        <v/>
      </c>
      <c r="J34" s="46">
        <f t="shared" si="3"/>
        <v>0</v>
      </c>
    </row>
    <row r="35" spans="1:10" hidden="1" x14ac:dyDescent="0.25">
      <c r="A35" s="39">
        <v>21</v>
      </c>
      <c r="B35" s="40"/>
      <c r="C35" s="47"/>
      <c r="D35" s="43">
        <f t="shared" si="0"/>
        <v>1</v>
      </c>
      <c r="E35" s="43" t="str">
        <f t="shared" si="6"/>
        <v/>
      </c>
      <c r="F35" s="44">
        <f t="shared" si="7"/>
        <v>1288533826</v>
      </c>
      <c r="G35" s="43">
        <f t="shared" si="1"/>
        <v>0</v>
      </c>
      <c r="H35" s="153">
        <f t="shared" si="8"/>
        <v>0</v>
      </c>
      <c r="I35" s="45" t="str">
        <f t="shared" si="2"/>
        <v/>
      </c>
      <c r="J35" s="46">
        <f t="shared" si="3"/>
        <v>0</v>
      </c>
    </row>
    <row r="36" spans="1:10" hidden="1" x14ac:dyDescent="0.25">
      <c r="A36" s="39">
        <v>22</v>
      </c>
      <c r="B36" s="40"/>
      <c r="C36" s="47"/>
      <c r="D36" s="43">
        <f t="shared" si="0"/>
        <v>1</v>
      </c>
      <c r="E36" s="43" t="str">
        <f t="shared" si="6"/>
        <v/>
      </c>
      <c r="F36" s="44">
        <f t="shared" si="7"/>
        <v>1288533826</v>
      </c>
      <c r="G36" s="43">
        <f t="shared" si="1"/>
        <v>0</v>
      </c>
      <c r="H36" s="153">
        <f t="shared" si="8"/>
        <v>0</v>
      </c>
      <c r="I36" s="45" t="str">
        <f t="shared" si="2"/>
        <v/>
      </c>
      <c r="J36" s="46">
        <f t="shared" si="3"/>
        <v>0</v>
      </c>
    </row>
    <row r="37" spans="1:10" hidden="1" x14ac:dyDescent="0.25">
      <c r="A37" s="39">
        <v>23</v>
      </c>
      <c r="B37" s="40"/>
      <c r="C37" s="47"/>
      <c r="D37" s="43">
        <f t="shared" si="0"/>
        <v>1</v>
      </c>
      <c r="E37" s="43" t="str">
        <f t="shared" si="6"/>
        <v/>
      </c>
      <c r="F37" s="44">
        <f t="shared" si="7"/>
        <v>1288533826</v>
      </c>
      <c r="G37" s="43">
        <f t="shared" si="1"/>
        <v>0</v>
      </c>
      <c r="H37" s="153">
        <f t="shared" si="8"/>
        <v>0</v>
      </c>
      <c r="I37" s="45" t="str">
        <f t="shared" si="2"/>
        <v/>
      </c>
      <c r="J37" s="46">
        <f t="shared" si="3"/>
        <v>0</v>
      </c>
    </row>
    <row r="38" spans="1:10" hidden="1" x14ac:dyDescent="0.25">
      <c r="A38" s="39">
        <v>24</v>
      </c>
      <c r="B38" s="40"/>
      <c r="C38" s="47"/>
      <c r="D38" s="43">
        <f t="shared" si="0"/>
        <v>1</v>
      </c>
      <c r="E38" s="43" t="str">
        <f t="shared" si="6"/>
        <v/>
      </c>
      <c r="F38" s="44">
        <f t="shared" si="7"/>
        <v>1288533826</v>
      </c>
      <c r="G38" s="43">
        <f t="shared" si="1"/>
        <v>0</v>
      </c>
      <c r="H38" s="153">
        <f t="shared" si="8"/>
        <v>0</v>
      </c>
      <c r="I38" s="45" t="str">
        <f t="shared" si="2"/>
        <v/>
      </c>
      <c r="J38" s="46">
        <f t="shared" si="3"/>
        <v>0</v>
      </c>
    </row>
    <row r="39" spans="1:10" hidden="1" x14ac:dyDescent="0.25">
      <c r="A39" s="39">
        <v>25</v>
      </c>
      <c r="B39" s="40"/>
      <c r="C39" s="47"/>
      <c r="D39" s="43">
        <f t="shared" si="0"/>
        <v>1</v>
      </c>
      <c r="E39" s="43" t="str">
        <f t="shared" si="6"/>
        <v/>
      </c>
      <c r="F39" s="44">
        <f t="shared" si="7"/>
        <v>1288533826</v>
      </c>
      <c r="G39" s="43">
        <f t="shared" si="1"/>
        <v>0</v>
      </c>
      <c r="H39" s="153">
        <f t="shared" si="8"/>
        <v>0</v>
      </c>
      <c r="I39" s="45" t="str">
        <f t="shared" si="2"/>
        <v/>
      </c>
      <c r="J39" s="46">
        <f t="shared" si="3"/>
        <v>0</v>
      </c>
    </row>
    <row r="40" spans="1:10" hidden="1" x14ac:dyDescent="0.25">
      <c r="A40" s="39">
        <v>26</v>
      </c>
      <c r="B40" s="40"/>
      <c r="C40" s="47"/>
      <c r="D40" s="43">
        <f t="shared" si="0"/>
        <v>1</v>
      </c>
      <c r="E40" s="43" t="str">
        <f t="shared" si="6"/>
        <v/>
      </c>
      <c r="F40" s="44">
        <f t="shared" si="7"/>
        <v>1288533826</v>
      </c>
      <c r="G40" s="43">
        <f t="shared" si="1"/>
        <v>0</v>
      </c>
      <c r="H40" s="153">
        <f t="shared" si="8"/>
        <v>0</v>
      </c>
      <c r="I40" s="45" t="str">
        <f t="shared" si="2"/>
        <v/>
      </c>
      <c r="J40" s="46">
        <f t="shared" si="3"/>
        <v>0</v>
      </c>
    </row>
    <row r="41" spans="1:10" hidden="1" x14ac:dyDescent="0.25">
      <c r="A41" s="39">
        <v>27</v>
      </c>
      <c r="B41" s="40"/>
      <c r="C41" s="47"/>
      <c r="D41" s="43">
        <f t="shared" si="0"/>
        <v>1</v>
      </c>
      <c r="E41" s="43" t="str">
        <f t="shared" si="6"/>
        <v/>
      </c>
      <c r="F41" s="44">
        <f t="shared" si="7"/>
        <v>1288533826</v>
      </c>
      <c r="G41" s="43">
        <f t="shared" si="1"/>
        <v>0</v>
      </c>
      <c r="H41" s="153">
        <f t="shared" si="8"/>
        <v>0</v>
      </c>
      <c r="I41" s="45" t="str">
        <f t="shared" si="2"/>
        <v/>
      </c>
      <c r="J41" s="46">
        <f t="shared" si="3"/>
        <v>0</v>
      </c>
    </row>
    <row r="42" spans="1:10" hidden="1" x14ac:dyDescent="0.25">
      <c r="A42" s="39">
        <v>28</v>
      </c>
      <c r="B42" s="40"/>
      <c r="C42" s="47"/>
      <c r="D42" s="43">
        <f t="shared" si="0"/>
        <v>1</v>
      </c>
      <c r="E42" s="43" t="str">
        <f t="shared" si="6"/>
        <v/>
      </c>
      <c r="F42" s="44">
        <f t="shared" si="7"/>
        <v>1288533826</v>
      </c>
      <c r="G42" s="43">
        <f t="shared" si="1"/>
        <v>0</v>
      </c>
      <c r="H42" s="153">
        <f t="shared" si="8"/>
        <v>0</v>
      </c>
      <c r="I42" s="45" t="str">
        <f t="shared" si="2"/>
        <v/>
      </c>
      <c r="J42" s="46">
        <f t="shared" si="3"/>
        <v>0</v>
      </c>
    </row>
    <row r="43" spans="1:10" hidden="1" x14ac:dyDescent="0.25">
      <c r="A43" s="39">
        <v>29</v>
      </c>
      <c r="B43" s="40"/>
      <c r="C43" s="47"/>
      <c r="D43" s="43">
        <f t="shared" si="0"/>
        <v>1</v>
      </c>
      <c r="E43" s="43" t="str">
        <f t="shared" si="6"/>
        <v/>
      </c>
      <c r="F43" s="44">
        <f t="shared" si="7"/>
        <v>1288533826</v>
      </c>
      <c r="G43" s="43">
        <f t="shared" si="1"/>
        <v>0</v>
      </c>
      <c r="H43" s="153">
        <f t="shared" si="8"/>
        <v>0</v>
      </c>
      <c r="I43" s="45" t="str">
        <f t="shared" si="2"/>
        <v/>
      </c>
      <c r="J43" s="46">
        <f t="shared" si="3"/>
        <v>0</v>
      </c>
    </row>
    <row r="44" spans="1:10" hidden="1" x14ac:dyDescent="0.25">
      <c r="A44" s="39">
        <v>30</v>
      </c>
      <c r="B44" s="40"/>
      <c r="C44" s="47"/>
      <c r="D44" s="43">
        <f t="shared" si="0"/>
        <v>1</v>
      </c>
      <c r="E44" s="43" t="str">
        <f t="shared" si="6"/>
        <v/>
      </c>
      <c r="F44" s="44">
        <f t="shared" si="7"/>
        <v>1288533826</v>
      </c>
      <c r="G44" s="43">
        <f t="shared" si="1"/>
        <v>0</v>
      </c>
      <c r="H44" s="153">
        <f t="shared" si="8"/>
        <v>0</v>
      </c>
      <c r="I44" s="45" t="str">
        <f t="shared" si="2"/>
        <v/>
      </c>
      <c r="J44" s="46">
        <f t="shared" si="3"/>
        <v>0</v>
      </c>
    </row>
    <row r="45" spans="1:10" hidden="1" x14ac:dyDescent="0.25">
      <c r="A45" s="39">
        <v>31</v>
      </c>
      <c r="B45" s="40"/>
      <c r="C45" s="47"/>
      <c r="D45" s="43">
        <f t="shared" si="0"/>
        <v>1</v>
      </c>
      <c r="E45" s="43" t="str">
        <f t="shared" si="6"/>
        <v/>
      </c>
      <c r="F45" s="44">
        <f t="shared" si="7"/>
        <v>1288533826</v>
      </c>
      <c r="G45" s="43">
        <f t="shared" si="1"/>
        <v>0</v>
      </c>
      <c r="H45" s="153">
        <f t="shared" si="8"/>
        <v>0</v>
      </c>
      <c r="I45" s="45" t="str">
        <f t="shared" si="2"/>
        <v/>
      </c>
      <c r="J45" s="46">
        <f t="shared" si="3"/>
        <v>0</v>
      </c>
    </row>
    <row r="46" spans="1:10" hidden="1" x14ac:dyDescent="0.25">
      <c r="A46" s="39">
        <v>32</v>
      </c>
      <c r="B46" s="40"/>
      <c r="C46" s="47"/>
      <c r="D46" s="43">
        <f t="shared" si="0"/>
        <v>1</v>
      </c>
      <c r="E46" s="43" t="str">
        <f t="shared" si="6"/>
        <v/>
      </c>
      <c r="F46" s="44">
        <f t="shared" si="7"/>
        <v>1288533826</v>
      </c>
      <c r="G46" s="43">
        <f t="shared" si="1"/>
        <v>0</v>
      </c>
      <c r="H46" s="153">
        <f t="shared" si="8"/>
        <v>0</v>
      </c>
      <c r="I46" s="45" t="str">
        <f t="shared" si="2"/>
        <v/>
      </c>
      <c r="J46" s="46">
        <f t="shared" si="3"/>
        <v>0</v>
      </c>
    </row>
    <row r="47" spans="1:10" hidden="1" x14ac:dyDescent="0.25">
      <c r="A47" s="39">
        <v>33</v>
      </c>
      <c r="B47" s="40"/>
      <c r="C47" s="47"/>
      <c r="D47" s="43">
        <f t="shared" ref="D47:D69" si="10">+IF(C47&gt;0,(IF(C47&gt;=0.9*$C$9,C47/$C$11,1)),1)</f>
        <v>1</v>
      </c>
      <c r="E47" s="43" t="str">
        <f t="shared" si="6"/>
        <v/>
      </c>
      <c r="F47" s="44">
        <f t="shared" si="7"/>
        <v>1288533826</v>
      </c>
      <c r="G47" s="43">
        <f t="shared" ref="G47:G69" si="11">+IF(D47&lt;0.9*$J$10,0,D47)</f>
        <v>0</v>
      </c>
      <c r="H47" s="153">
        <f t="shared" si="8"/>
        <v>0</v>
      </c>
      <c r="I47" s="45" t="str">
        <f t="shared" si="2"/>
        <v/>
      </c>
      <c r="J47" s="46">
        <f t="shared" si="3"/>
        <v>0</v>
      </c>
    </row>
    <row r="48" spans="1:10" hidden="1" x14ac:dyDescent="0.25">
      <c r="A48" s="39">
        <v>34</v>
      </c>
      <c r="B48" s="40"/>
      <c r="C48" s="47"/>
      <c r="D48" s="43">
        <f t="shared" si="10"/>
        <v>1</v>
      </c>
      <c r="E48" s="43" t="str">
        <f t="shared" si="6"/>
        <v/>
      </c>
      <c r="F48" s="44">
        <f t="shared" si="7"/>
        <v>1288533826</v>
      </c>
      <c r="G48" s="43">
        <f t="shared" si="11"/>
        <v>0</v>
      </c>
      <c r="H48" s="153">
        <f t="shared" si="8"/>
        <v>0</v>
      </c>
      <c r="I48" s="45" t="str">
        <f t="shared" si="2"/>
        <v/>
      </c>
      <c r="J48" s="46">
        <f t="shared" si="3"/>
        <v>0</v>
      </c>
    </row>
    <row r="49" spans="1:12" hidden="1" x14ac:dyDescent="0.25">
      <c r="A49" s="39">
        <v>35</v>
      </c>
      <c r="B49" s="40"/>
      <c r="C49" s="47"/>
      <c r="D49" s="43">
        <f t="shared" si="10"/>
        <v>1</v>
      </c>
      <c r="E49" s="43" t="str">
        <f t="shared" si="6"/>
        <v/>
      </c>
      <c r="F49" s="44">
        <f t="shared" si="7"/>
        <v>1288533826</v>
      </c>
      <c r="G49" s="43">
        <f t="shared" si="11"/>
        <v>0</v>
      </c>
      <c r="H49" s="153">
        <f t="shared" si="8"/>
        <v>0</v>
      </c>
      <c r="I49" s="45" t="str">
        <f t="shared" si="2"/>
        <v/>
      </c>
      <c r="J49" s="46">
        <f t="shared" si="3"/>
        <v>0</v>
      </c>
    </row>
    <row r="50" spans="1:12" hidden="1" x14ac:dyDescent="0.25">
      <c r="A50" s="39">
        <v>36</v>
      </c>
      <c r="B50" s="40"/>
      <c r="C50" s="47"/>
      <c r="D50" s="43">
        <f t="shared" si="10"/>
        <v>1</v>
      </c>
      <c r="E50" s="43" t="str">
        <f t="shared" si="6"/>
        <v/>
      </c>
      <c r="F50" s="44">
        <f t="shared" si="7"/>
        <v>1288533826</v>
      </c>
      <c r="G50" s="43">
        <f t="shared" si="11"/>
        <v>0</v>
      </c>
      <c r="H50" s="153">
        <f t="shared" si="8"/>
        <v>0</v>
      </c>
      <c r="I50" s="45" t="str">
        <f t="shared" si="2"/>
        <v/>
      </c>
      <c r="J50" s="46">
        <f t="shared" si="3"/>
        <v>0</v>
      </c>
    </row>
    <row r="51" spans="1:12" hidden="1" x14ac:dyDescent="0.25">
      <c r="A51" s="39">
        <v>37</v>
      </c>
      <c r="B51" s="40"/>
      <c r="C51" s="47"/>
      <c r="D51" s="43">
        <f t="shared" si="10"/>
        <v>1</v>
      </c>
      <c r="E51" s="43" t="str">
        <f t="shared" si="6"/>
        <v/>
      </c>
      <c r="F51" s="44">
        <f t="shared" si="7"/>
        <v>1288533826</v>
      </c>
      <c r="G51" s="43">
        <f t="shared" si="11"/>
        <v>0</v>
      </c>
      <c r="H51" s="153">
        <f t="shared" si="8"/>
        <v>0</v>
      </c>
      <c r="I51" s="45" t="str">
        <f t="shared" si="2"/>
        <v/>
      </c>
      <c r="J51" s="46">
        <f t="shared" si="3"/>
        <v>0</v>
      </c>
    </row>
    <row r="52" spans="1:12" hidden="1" x14ac:dyDescent="0.25">
      <c r="A52" s="39">
        <v>38</v>
      </c>
      <c r="B52" s="40"/>
      <c r="C52" s="47"/>
      <c r="D52" s="43">
        <f t="shared" si="10"/>
        <v>1</v>
      </c>
      <c r="E52" s="43" t="str">
        <f t="shared" si="6"/>
        <v/>
      </c>
      <c r="F52" s="44">
        <f t="shared" si="7"/>
        <v>1288533826</v>
      </c>
      <c r="G52" s="43">
        <f t="shared" si="11"/>
        <v>0</v>
      </c>
      <c r="H52" s="153">
        <f t="shared" si="8"/>
        <v>0</v>
      </c>
      <c r="I52" s="45" t="str">
        <f t="shared" si="2"/>
        <v/>
      </c>
      <c r="J52" s="46">
        <f t="shared" si="3"/>
        <v>0</v>
      </c>
    </row>
    <row r="53" spans="1:12" hidden="1" x14ac:dyDescent="0.25">
      <c r="A53" s="39">
        <v>39</v>
      </c>
      <c r="B53" s="40"/>
      <c r="C53" s="47"/>
      <c r="D53" s="43">
        <f t="shared" si="10"/>
        <v>1</v>
      </c>
      <c r="E53" s="43" t="str">
        <f t="shared" si="6"/>
        <v/>
      </c>
      <c r="F53" s="44">
        <f t="shared" si="7"/>
        <v>1288533826</v>
      </c>
      <c r="G53" s="43">
        <f t="shared" si="11"/>
        <v>0</v>
      </c>
      <c r="H53" s="153">
        <f t="shared" si="8"/>
        <v>0</v>
      </c>
      <c r="I53" s="45" t="str">
        <f t="shared" si="2"/>
        <v/>
      </c>
      <c r="J53" s="46">
        <f t="shared" si="3"/>
        <v>0</v>
      </c>
    </row>
    <row r="54" spans="1:12" hidden="1" x14ac:dyDescent="0.25">
      <c r="A54" s="39">
        <v>40</v>
      </c>
      <c r="B54" s="40"/>
      <c r="C54" s="47"/>
      <c r="D54" s="43">
        <f t="shared" si="10"/>
        <v>1</v>
      </c>
      <c r="E54" s="43" t="str">
        <f t="shared" si="6"/>
        <v/>
      </c>
      <c r="F54" s="44">
        <f t="shared" si="7"/>
        <v>1288533826</v>
      </c>
      <c r="G54" s="43">
        <f t="shared" si="11"/>
        <v>0</v>
      </c>
      <c r="H54" s="153">
        <f t="shared" si="8"/>
        <v>0</v>
      </c>
      <c r="I54" s="45" t="str">
        <f t="shared" si="2"/>
        <v/>
      </c>
      <c r="J54" s="46">
        <f t="shared" si="3"/>
        <v>0</v>
      </c>
    </row>
    <row r="55" spans="1:12" hidden="1" x14ac:dyDescent="0.25">
      <c r="A55" s="39">
        <v>41</v>
      </c>
      <c r="B55" s="40"/>
      <c r="C55" s="47"/>
      <c r="D55" s="43">
        <f t="shared" si="10"/>
        <v>1</v>
      </c>
      <c r="E55" s="43" t="str">
        <f t="shared" si="6"/>
        <v/>
      </c>
      <c r="F55" s="44">
        <f t="shared" si="7"/>
        <v>1288533826</v>
      </c>
      <c r="G55" s="43">
        <f t="shared" si="11"/>
        <v>0</v>
      </c>
      <c r="H55" s="153">
        <f t="shared" si="8"/>
        <v>0</v>
      </c>
      <c r="I55" s="45" t="str">
        <f t="shared" si="2"/>
        <v/>
      </c>
      <c r="J55" s="46">
        <f t="shared" si="3"/>
        <v>0</v>
      </c>
    </row>
    <row r="56" spans="1:12" hidden="1" x14ac:dyDescent="0.25">
      <c r="A56" s="39">
        <v>42</v>
      </c>
      <c r="B56" s="40"/>
      <c r="C56" s="47"/>
      <c r="D56" s="43">
        <f t="shared" si="10"/>
        <v>1</v>
      </c>
      <c r="E56" s="43" t="str">
        <f t="shared" si="6"/>
        <v/>
      </c>
      <c r="F56" s="44">
        <f t="shared" si="7"/>
        <v>1288533826</v>
      </c>
      <c r="G56" s="43">
        <f t="shared" si="11"/>
        <v>0</v>
      </c>
      <c r="H56" s="153">
        <f t="shared" si="8"/>
        <v>0</v>
      </c>
      <c r="I56" s="45" t="str">
        <f t="shared" si="2"/>
        <v/>
      </c>
      <c r="J56" s="46">
        <f t="shared" si="3"/>
        <v>0</v>
      </c>
    </row>
    <row r="57" spans="1:12" hidden="1" x14ac:dyDescent="0.25">
      <c r="A57" s="39">
        <v>43</v>
      </c>
      <c r="B57" s="40"/>
      <c r="C57" s="47"/>
      <c r="D57" s="43">
        <f t="shared" si="10"/>
        <v>1</v>
      </c>
      <c r="E57" s="43" t="str">
        <f t="shared" si="6"/>
        <v/>
      </c>
      <c r="F57" s="44">
        <f t="shared" si="7"/>
        <v>1288533826</v>
      </c>
      <c r="G57" s="43">
        <f t="shared" si="11"/>
        <v>0</v>
      </c>
      <c r="H57" s="153">
        <f t="shared" si="8"/>
        <v>0</v>
      </c>
      <c r="I57" s="45" t="str">
        <f t="shared" si="2"/>
        <v/>
      </c>
      <c r="J57" s="46">
        <f t="shared" si="3"/>
        <v>0</v>
      </c>
    </row>
    <row r="58" spans="1:12" hidden="1" x14ac:dyDescent="0.25">
      <c r="A58" s="39">
        <v>44</v>
      </c>
      <c r="B58" s="40"/>
      <c r="C58" s="47"/>
      <c r="D58" s="43">
        <f t="shared" si="10"/>
        <v>1</v>
      </c>
      <c r="E58" s="43" t="str">
        <f t="shared" si="6"/>
        <v/>
      </c>
      <c r="F58" s="44">
        <f t="shared" si="7"/>
        <v>1288533826</v>
      </c>
      <c r="G58" s="43">
        <f t="shared" si="11"/>
        <v>0</v>
      </c>
      <c r="H58" s="153">
        <f t="shared" si="8"/>
        <v>0</v>
      </c>
      <c r="I58" s="45" t="str">
        <f t="shared" si="2"/>
        <v/>
      </c>
      <c r="J58" s="46">
        <f t="shared" si="3"/>
        <v>0</v>
      </c>
    </row>
    <row r="59" spans="1:12" hidden="1" x14ac:dyDescent="0.25">
      <c r="A59" s="39">
        <v>45</v>
      </c>
      <c r="B59" s="40"/>
      <c r="C59" s="47"/>
      <c r="D59" s="43">
        <f t="shared" si="10"/>
        <v>1</v>
      </c>
      <c r="E59" s="43" t="str">
        <f t="shared" si="6"/>
        <v/>
      </c>
      <c r="F59" s="44">
        <f t="shared" si="7"/>
        <v>1288533826</v>
      </c>
      <c r="G59" s="43">
        <f t="shared" si="11"/>
        <v>0</v>
      </c>
      <c r="H59" s="153">
        <f t="shared" si="8"/>
        <v>0</v>
      </c>
      <c r="I59" s="45" t="str">
        <f t="shared" si="2"/>
        <v/>
      </c>
      <c r="J59" s="46">
        <f t="shared" si="3"/>
        <v>0</v>
      </c>
    </row>
    <row r="60" spans="1:12" hidden="1" x14ac:dyDescent="0.25">
      <c r="A60" s="39">
        <v>46</v>
      </c>
      <c r="B60" s="40"/>
      <c r="C60" s="47"/>
      <c r="D60" s="43">
        <f t="shared" si="10"/>
        <v>1</v>
      </c>
      <c r="E60" s="43" t="str">
        <f t="shared" si="6"/>
        <v/>
      </c>
      <c r="F60" s="44">
        <f t="shared" si="7"/>
        <v>1288533826</v>
      </c>
      <c r="G60" s="43">
        <f t="shared" si="11"/>
        <v>0</v>
      </c>
      <c r="H60" s="153">
        <f t="shared" si="8"/>
        <v>0</v>
      </c>
      <c r="I60" s="45" t="str">
        <f t="shared" si="2"/>
        <v/>
      </c>
      <c r="J60" s="46">
        <f t="shared" si="3"/>
        <v>0</v>
      </c>
    </row>
    <row r="61" spans="1:12" hidden="1" x14ac:dyDescent="0.25">
      <c r="A61" s="39">
        <v>47</v>
      </c>
      <c r="B61" s="40"/>
      <c r="C61" s="47"/>
      <c r="D61" s="43">
        <f t="shared" si="10"/>
        <v>1</v>
      </c>
      <c r="E61" s="43" t="str">
        <f t="shared" si="6"/>
        <v/>
      </c>
      <c r="F61" s="44">
        <f t="shared" si="7"/>
        <v>1288533826</v>
      </c>
      <c r="G61" s="43">
        <f t="shared" si="11"/>
        <v>0</v>
      </c>
      <c r="H61" s="153">
        <f t="shared" si="8"/>
        <v>0</v>
      </c>
      <c r="I61" s="45" t="str">
        <f t="shared" si="2"/>
        <v/>
      </c>
      <c r="J61" s="46">
        <f t="shared" si="3"/>
        <v>0</v>
      </c>
    </row>
    <row r="62" spans="1:12" hidden="1" x14ac:dyDescent="0.25">
      <c r="A62" s="39">
        <v>48</v>
      </c>
      <c r="B62" s="40"/>
      <c r="C62" s="47"/>
      <c r="D62" s="43">
        <f t="shared" si="10"/>
        <v>1</v>
      </c>
      <c r="E62" s="43" t="str">
        <f t="shared" si="6"/>
        <v/>
      </c>
      <c r="F62" s="44">
        <f t="shared" si="7"/>
        <v>1288533826</v>
      </c>
      <c r="G62" s="43">
        <f t="shared" si="11"/>
        <v>0</v>
      </c>
      <c r="H62" s="153">
        <f t="shared" si="8"/>
        <v>0</v>
      </c>
      <c r="I62" s="45" t="str">
        <f t="shared" si="2"/>
        <v/>
      </c>
      <c r="J62" s="46">
        <f t="shared" si="3"/>
        <v>0</v>
      </c>
      <c r="L62" s="2">
        <f>+L26/5</f>
        <v>0</v>
      </c>
    </row>
    <row r="63" spans="1:12" hidden="1" x14ac:dyDescent="0.25">
      <c r="A63" s="39">
        <v>49</v>
      </c>
      <c r="B63" s="40"/>
      <c r="C63" s="47"/>
      <c r="D63" s="43">
        <f t="shared" si="10"/>
        <v>1</v>
      </c>
      <c r="E63" s="43" t="str">
        <f t="shared" si="6"/>
        <v/>
      </c>
      <c r="F63" s="44">
        <f t="shared" si="7"/>
        <v>1288533826</v>
      </c>
      <c r="G63" s="43">
        <f t="shared" si="11"/>
        <v>0</v>
      </c>
      <c r="H63" s="153">
        <f t="shared" si="8"/>
        <v>0</v>
      </c>
      <c r="I63" s="45" t="str">
        <f t="shared" si="2"/>
        <v/>
      </c>
      <c r="J63" s="46">
        <f t="shared" si="3"/>
        <v>0</v>
      </c>
    </row>
    <row r="64" spans="1:12" hidden="1" x14ac:dyDescent="0.25">
      <c r="A64" s="39">
        <v>50</v>
      </c>
      <c r="B64" s="40"/>
      <c r="C64" s="47"/>
      <c r="D64" s="43">
        <f t="shared" si="10"/>
        <v>1</v>
      </c>
      <c r="E64" s="43" t="str">
        <f t="shared" si="6"/>
        <v/>
      </c>
      <c r="F64" s="44">
        <f t="shared" si="7"/>
        <v>1288533826</v>
      </c>
      <c r="G64" s="43">
        <f t="shared" si="11"/>
        <v>0</v>
      </c>
      <c r="H64" s="153">
        <f t="shared" si="8"/>
        <v>0</v>
      </c>
      <c r="I64" s="45" t="str">
        <f t="shared" si="2"/>
        <v/>
      </c>
      <c r="J64" s="46">
        <f t="shared" si="3"/>
        <v>0</v>
      </c>
    </row>
    <row r="65" spans="1:13" hidden="1" x14ac:dyDescent="0.25">
      <c r="A65" s="39">
        <v>51</v>
      </c>
      <c r="B65" s="40"/>
      <c r="C65" s="47"/>
      <c r="D65" s="43">
        <f t="shared" si="10"/>
        <v>1</v>
      </c>
      <c r="E65" s="43" t="str">
        <f t="shared" si="6"/>
        <v/>
      </c>
      <c r="F65" s="44">
        <f t="shared" si="7"/>
        <v>1288533826</v>
      </c>
      <c r="G65" s="43">
        <f t="shared" si="11"/>
        <v>0</v>
      </c>
      <c r="H65" s="153">
        <f t="shared" si="8"/>
        <v>0</v>
      </c>
      <c r="I65" s="45" t="str">
        <f t="shared" si="2"/>
        <v/>
      </c>
      <c r="J65" s="46">
        <f t="shared" si="3"/>
        <v>0</v>
      </c>
    </row>
    <row r="66" spans="1:13" hidden="1" x14ac:dyDescent="0.25">
      <c r="A66" s="39">
        <v>52</v>
      </c>
      <c r="B66" s="40"/>
      <c r="C66" s="47"/>
      <c r="D66" s="43">
        <f t="shared" si="10"/>
        <v>1</v>
      </c>
      <c r="E66" s="43" t="str">
        <f t="shared" si="6"/>
        <v/>
      </c>
      <c r="F66" s="44">
        <f t="shared" si="7"/>
        <v>1288533826</v>
      </c>
      <c r="G66" s="43">
        <f t="shared" si="11"/>
        <v>0</v>
      </c>
      <c r="H66" s="153">
        <f t="shared" si="8"/>
        <v>0</v>
      </c>
      <c r="I66" s="45" t="str">
        <f t="shared" si="2"/>
        <v/>
      </c>
      <c r="J66" s="46">
        <f t="shared" si="3"/>
        <v>0</v>
      </c>
    </row>
    <row r="67" spans="1:13" hidden="1" x14ac:dyDescent="0.25">
      <c r="A67" s="39">
        <v>53</v>
      </c>
      <c r="B67" s="40"/>
      <c r="C67" s="47"/>
      <c r="D67" s="43">
        <f t="shared" si="10"/>
        <v>1</v>
      </c>
      <c r="E67" s="43" t="str">
        <f t="shared" si="6"/>
        <v/>
      </c>
      <c r="F67" s="44">
        <f t="shared" si="7"/>
        <v>1288533826</v>
      </c>
      <c r="G67" s="43">
        <f t="shared" si="11"/>
        <v>0</v>
      </c>
      <c r="H67" s="153">
        <f t="shared" si="8"/>
        <v>0</v>
      </c>
      <c r="I67" s="45" t="str">
        <f t="shared" si="2"/>
        <v/>
      </c>
      <c r="J67" s="46">
        <f t="shared" si="3"/>
        <v>0</v>
      </c>
    </row>
    <row r="68" spans="1:13" hidden="1" x14ac:dyDescent="0.25">
      <c r="A68" s="39">
        <v>54</v>
      </c>
      <c r="B68" s="40"/>
      <c r="C68" s="47"/>
      <c r="D68" s="43">
        <f t="shared" si="10"/>
        <v>1</v>
      </c>
      <c r="E68" s="43" t="str">
        <f t="shared" si="6"/>
        <v/>
      </c>
      <c r="F68" s="44">
        <f t="shared" si="7"/>
        <v>1288533826</v>
      </c>
      <c r="G68" s="43">
        <f t="shared" si="11"/>
        <v>0</v>
      </c>
      <c r="H68" s="153">
        <f t="shared" si="8"/>
        <v>0</v>
      </c>
      <c r="I68" s="45" t="str">
        <f t="shared" si="2"/>
        <v/>
      </c>
      <c r="J68" s="46">
        <f t="shared" si="3"/>
        <v>0</v>
      </c>
    </row>
    <row r="69" spans="1:13" hidden="1" x14ac:dyDescent="0.25">
      <c r="A69" s="39">
        <v>55</v>
      </c>
      <c r="B69" s="40"/>
      <c r="C69" s="47"/>
      <c r="D69" s="43">
        <f t="shared" si="10"/>
        <v>1</v>
      </c>
      <c r="E69" s="43" t="str">
        <f t="shared" si="6"/>
        <v/>
      </c>
      <c r="F69" s="44">
        <f t="shared" si="7"/>
        <v>1288533826</v>
      </c>
      <c r="G69" s="43">
        <f t="shared" si="11"/>
        <v>0</v>
      </c>
      <c r="H69" s="153">
        <f t="shared" si="8"/>
        <v>0</v>
      </c>
      <c r="I69" s="45" t="str">
        <f t="shared" si="2"/>
        <v/>
      </c>
      <c r="J69" s="46">
        <f t="shared" si="3"/>
        <v>0</v>
      </c>
    </row>
    <row r="70" spans="1:13" ht="13.8" thickBot="1" x14ac:dyDescent="0.3">
      <c r="A70" s="48"/>
      <c r="B70" s="49" t="s">
        <v>27</v>
      </c>
      <c r="C70" s="49">
        <f>+COUNT(C15:C22)</f>
        <v>0</v>
      </c>
      <c r="D70" s="50"/>
      <c r="E70" s="49"/>
      <c r="F70" s="51">
        <f>+MAX(F15:F18)</f>
        <v>1288533826</v>
      </c>
      <c r="G70" s="49"/>
      <c r="H70" s="52"/>
      <c r="I70" s="45"/>
    </row>
    <row r="71" spans="1:13" x14ac:dyDescent="0.25">
      <c r="F71" s="53">
        <f>+F70</f>
        <v>1288533826</v>
      </c>
    </row>
    <row r="72" spans="1:13" x14ac:dyDescent="0.25">
      <c r="H72" s="468">
        <f>+H20-H16</f>
        <v>0</v>
      </c>
    </row>
    <row r="74" spans="1:13" x14ac:dyDescent="0.25">
      <c r="A74" s="2" t="s">
        <v>103</v>
      </c>
      <c r="B74" s="468">
        <f>+H18</f>
        <v>0</v>
      </c>
      <c r="C74" s="468">
        <f>+H16</f>
        <v>0</v>
      </c>
      <c r="H74" s="468">
        <f>+H20</f>
        <v>0</v>
      </c>
    </row>
    <row r="75" spans="1:13" x14ac:dyDescent="0.25">
      <c r="B75" s="468">
        <f>100-2.48</f>
        <v>97.52</v>
      </c>
      <c r="C75" s="2">
        <f>100-1.5</f>
        <v>98.5</v>
      </c>
      <c r="H75" s="468">
        <f>100-1.9-1.5</f>
        <v>96.6</v>
      </c>
    </row>
    <row r="76" spans="1:13" x14ac:dyDescent="0.25">
      <c r="A76" s="154"/>
      <c r="B76" s="473">
        <f>+B75+B74</f>
        <v>97.52</v>
      </c>
      <c r="C76" s="468">
        <f>+C75+C74</f>
        <v>98.5</v>
      </c>
      <c r="H76" s="468">
        <f>+H75+H74</f>
        <v>96.6</v>
      </c>
      <c r="M76" s="468"/>
    </row>
    <row r="77" spans="1:13" x14ac:dyDescent="0.25">
      <c r="A77" s="154" t="s">
        <v>93</v>
      </c>
      <c r="B77" s="158"/>
      <c r="C77" s="653"/>
      <c r="D77" s="653"/>
      <c r="E77" s="653"/>
      <c r="F77" s="653"/>
      <c r="G77" s="653"/>
      <c r="H77" s="653"/>
      <c r="I77" s="54"/>
      <c r="J77" s="54"/>
      <c r="K77" s="54"/>
      <c r="L77" s="54"/>
    </row>
    <row r="78" spans="1:13" x14ac:dyDescent="0.25">
      <c r="A78" s="159" t="s">
        <v>217</v>
      </c>
      <c r="B78" s="159"/>
      <c r="C78" s="654" t="str">
        <f>+TECNICA!B57</f>
        <v>ING. JAIRO GUERRERO</v>
      </c>
      <c r="D78" s="654"/>
      <c r="E78" s="654"/>
      <c r="F78" s="654"/>
      <c r="G78" s="654"/>
      <c r="H78" s="654"/>
    </row>
    <row r="79" spans="1:13" x14ac:dyDescent="0.25">
      <c r="A79" s="160" t="s">
        <v>92</v>
      </c>
      <c r="B79" s="161"/>
      <c r="C79" s="652" t="str">
        <f>+TECNICA!B58</f>
        <v>VICE RECTOR ADMINISTRATIVO</v>
      </c>
      <c r="D79" s="652"/>
      <c r="E79" s="652"/>
      <c r="F79" s="652"/>
      <c r="G79" s="652"/>
      <c r="H79" s="652"/>
    </row>
    <row r="80" spans="1:13" x14ac:dyDescent="0.25">
      <c r="A80" s="225" t="s">
        <v>110</v>
      </c>
      <c r="B80" s="154"/>
      <c r="C80" s="460" t="s">
        <v>110</v>
      </c>
      <c r="D80" s="461"/>
      <c r="E80" s="462"/>
      <c r="F80" s="462"/>
      <c r="G80" s="463"/>
      <c r="H80" s="463"/>
    </row>
    <row r="81" spans="1:3" x14ac:dyDescent="0.25">
      <c r="C81" s="200"/>
    </row>
    <row r="84" spans="1:3" x14ac:dyDescent="0.25">
      <c r="A84" s="1" t="str">
        <f>+TECNICA!D57</f>
        <v>VICENTE PARRA</v>
      </c>
      <c r="C84" s="1" t="str">
        <f>+TECNICA!B62</f>
        <v>CHRISTIAN NARVAEZ</v>
      </c>
    </row>
    <row r="85" spans="1:3" x14ac:dyDescent="0.25">
      <c r="A85" s="2" t="str">
        <f>+TECNICA!D58</f>
        <v>COMITÉ TECNICO ASESOR</v>
      </c>
      <c r="C85" s="2" t="str">
        <f>+TECNICA!B63</f>
        <v>COMITÉ TECNICO ASESOR</v>
      </c>
    </row>
    <row r="88" spans="1:3" x14ac:dyDescent="0.25">
      <c r="A88" s="1" t="e">
        <f>+TECNICA!#REF!</f>
        <v>#REF!</v>
      </c>
      <c r="C88" s="1" t="str">
        <f>+TECNICA!D62</f>
        <v>WILLIAM CASTILLO</v>
      </c>
    </row>
    <row r="89" spans="1:3" x14ac:dyDescent="0.25">
      <c r="A89" s="2" t="e">
        <f>+TECNICA!#REF!</f>
        <v>#REF!</v>
      </c>
      <c r="C89" s="2" t="str">
        <f>+TECNICA!D63</f>
        <v>COMITÉ TECNICO ASESOR</v>
      </c>
    </row>
  </sheetData>
  <autoFilter ref="M15:O19">
    <sortState ref="M16:Q19">
      <sortCondition descending="1" ref="O15:O19"/>
    </sortState>
  </autoFilter>
  <mergeCells count="8">
    <mergeCell ref="A2:H2"/>
    <mergeCell ref="A3:H3"/>
    <mergeCell ref="A4:H4"/>
    <mergeCell ref="A1:H1"/>
    <mergeCell ref="C79:H79"/>
    <mergeCell ref="C77:H77"/>
    <mergeCell ref="C78:H78"/>
    <mergeCell ref="A6:H6"/>
  </mergeCells>
  <conditionalFormatting sqref="C15:C69">
    <cfRule type="expression" dxfId="1" priority="7" stopIfTrue="1">
      <formula>$H15=$H$14</formula>
    </cfRule>
  </conditionalFormatting>
  <conditionalFormatting sqref="H15:H69">
    <cfRule type="cellIs" dxfId="0" priority="6" stopIfTrue="1" operator="greaterThanOrEqual">
      <formula>$H$14</formula>
    </cfRule>
  </conditionalFormatting>
  <printOptions horizontalCentered="1"/>
  <pageMargins left="0.70866141732283472" right="0.70866141732283472" top="0.74803149606299213" bottom="0.74803149606299213" header="0.31496062992125984" footer="0.31496062992125984"/>
  <pageSetup paperSize="9" fitToHeight="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9:J48"/>
  <sheetViews>
    <sheetView topLeftCell="A17" workbookViewId="0">
      <selection activeCell="C15" sqref="C15:C21"/>
    </sheetView>
  </sheetViews>
  <sheetFormatPr baseColWidth="10" defaultRowHeight="14.4" x14ac:dyDescent="0.3"/>
  <cols>
    <col min="1" max="1" width="32.5546875" customWidth="1"/>
    <col min="2" max="2" width="25.44140625" customWidth="1"/>
    <col min="3" max="3" width="23" bestFit="1" customWidth="1"/>
    <col min="4" max="4" width="19" style="144" customWidth="1"/>
    <col min="5" max="5" width="23" bestFit="1" customWidth="1"/>
    <col min="6" max="6" width="18.6640625" customWidth="1"/>
    <col min="7" max="7" width="23" bestFit="1" customWidth="1"/>
    <col min="8" max="8" width="16.88671875" bestFit="1" customWidth="1"/>
    <col min="9" max="9" width="16.33203125" bestFit="1" customWidth="1"/>
    <col min="10" max="10" width="14.88671875" bestFit="1" customWidth="1"/>
  </cols>
  <sheetData>
    <row r="9" spans="2:10" x14ac:dyDescent="0.3">
      <c r="B9" s="162"/>
    </row>
    <row r="11" spans="2:10" x14ac:dyDescent="0.3">
      <c r="C11" s="466">
        <f>+TECNICA!D25</f>
        <v>1288533826</v>
      </c>
    </row>
    <row r="13" spans="2:10" x14ac:dyDescent="0.3">
      <c r="C13" s="467">
        <f>+D22/$C$11</f>
        <v>3.5320277326534422</v>
      </c>
      <c r="D13" s="213">
        <v>1</v>
      </c>
      <c r="E13" s="467">
        <f>+F22/$C$11</f>
        <v>3.4942179873203418</v>
      </c>
      <c r="F13" s="218">
        <v>2</v>
      </c>
      <c r="G13" s="467">
        <f>+H22/$C$11</f>
        <v>3.4785660917155461</v>
      </c>
      <c r="H13" s="218">
        <v>3</v>
      </c>
    </row>
    <row r="14" spans="2:10" x14ac:dyDescent="0.3">
      <c r="C14" s="214"/>
      <c r="D14" s="215"/>
      <c r="E14" s="214"/>
      <c r="F14" s="219"/>
      <c r="G14" s="214"/>
      <c r="H14" s="219"/>
    </row>
    <row r="15" spans="2:10" x14ac:dyDescent="0.3">
      <c r="C15" s="214" t="s">
        <v>102</v>
      </c>
      <c r="D15" s="215">
        <v>3591156304.3499999</v>
      </c>
      <c r="E15" s="214" t="s">
        <v>102</v>
      </c>
      <c r="F15" s="215">
        <v>3483434407</v>
      </c>
      <c r="G15" s="214" t="s">
        <v>102</v>
      </c>
      <c r="H15" s="215">
        <v>3499248247</v>
      </c>
      <c r="J15" s="145"/>
    </row>
    <row r="16" spans="2:10" x14ac:dyDescent="0.3">
      <c r="B16" t="s">
        <v>219</v>
      </c>
      <c r="C16" s="214">
        <v>20</v>
      </c>
      <c r="D16" s="215">
        <f>+D15*C16/100</f>
        <v>718231260.87</v>
      </c>
      <c r="E16" s="214">
        <v>21</v>
      </c>
      <c r="F16" s="215">
        <f>+F15*E16/100</f>
        <v>731521225.47000003</v>
      </c>
      <c r="G16" s="214">
        <v>21</v>
      </c>
      <c r="H16" s="215">
        <f>+H15*G16/100</f>
        <v>734842131.87</v>
      </c>
      <c r="J16" s="145"/>
    </row>
    <row r="17" spans="2:10" x14ac:dyDescent="0.3">
      <c r="B17" t="s">
        <v>136</v>
      </c>
      <c r="C17" s="214">
        <v>2.5</v>
      </c>
      <c r="D17" s="215">
        <f>+D15*C17/100</f>
        <v>89778907.608750001</v>
      </c>
      <c r="E17" s="214">
        <v>4</v>
      </c>
      <c r="F17" s="215">
        <f>+F15*E17/100</f>
        <v>139337376.28</v>
      </c>
      <c r="G17" s="214">
        <v>4</v>
      </c>
      <c r="H17" s="215">
        <f>+H15*G17/100</f>
        <v>139969929.88</v>
      </c>
      <c r="J17" s="145"/>
    </row>
    <row r="18" spans="2:10" x14ac:dyDescent="0.3">
      <c r="B18" t="s">
        <v>137</v>
      </c>
      <c r="C18" s="214">
        <v>3</v>
      </c>
      <c r="D18" s="215">
        <f>+D15*C18/100</f>
        <v>107734689.13049999</v>
      </c>
      <c r="E18" s="214">
        <v>3</v>
      </c>
      <c r="F18" s="215">
        <f>+F15*E18/100</f>
        <v>104503032.20999999</v>
      </c>
      <c r="G18" s="214">
        <v>3</v>
      </c>
      <c r="H18" s="215">
        <f>+H15*G18/100</f>
        <v>104977447.41</v>
      </c>
      <c r="J18" s="145"/>
    </row>
    <row r="19" spans="2:10" x14ac:dyDescent="0.3">
      <c r="B19" t="s">
        <v>138</v>
      </c>
      <c r="C19" s="214">
        <v>0.19</v>
      </c>
      <c r="D19" s="215">
        <f>+D18*C19</f>
        <v>20469590.934795</v>
      </c>
      <c r="E19" s="214">
        <v>0.19</v>
      </c>
      <c r="F19" s="215">
        <f>+F18*E19</f>
        <v>19855576.119899999</v>
      </c>
      <c r="G19" s="214">
        <v>-0.19</v>
      </c>
      <c r="H19" s="401">
        <f>+H18*G19</f>
        <v>-19945715.0079</v>
      </c>
      <c r="J19" s="145"/>
    </row>
    <row r="20" spans="2:10" x14ac:dyDescent="0.3">
      <c r="B20" t="s">
        <v>139</v>
      </c>
      <c r="C20" s="214" t="s">
        <v>101</v>
      </c>
      <c r="D20" s="215">
        <f>+D16+D17+D18+D15</f>
        <v>4506901161.9592495</v>
      </c>
      <c r="E20" s="214" t="s">
        <v>101</v>
      </c>
      <c r="F20" s="215">
        <f>+F16+F17+F18+F15</f>
        <v>4458796040.96</v>
      </c>
      <c r="G20" s="214" t="s">
        <v>101</v>
      </c>
      <c r="H20" s="215">
        <f>+H16+H17+H18+H15</f>
        <v>4479037756.1599998</v>
      </c>
      <c r="I20" s="212">
        <f>+H22/I22</f>
        <v>0.99556978062760093</v>
      </c>
      <c r="J20" s="145"/>
    </row>
    <row r="21" spans="2:10" x14ac:dyDescent="0.3">
      <c r="B21" t="s">
        <v>135</v>
      </c>
      <c r="C21" s="214" t="s">
        <v>135</v>
      </c>
      <c r="D21" s="215">
        <v>23766455</v>
      </c>
      <c r="E21" s="214"/>
      <c r="F21" s="215">
        <v>23766455</v>
      </c>
      <c r="G21" s="214"/>
      <c r="H21" s="215">
        <v>23158034</v>
      </c>
      <c r="J21" s="145"/>
    </row>
    <row r="22" spans="2:10" x14ac:dyDescent="0.3">
      <c r="B22" t="s">
        <v>8</v>
      </c>
      <c r="C22" s="216" t="s">
        <v>218</v>
      </c>
      <c r="D22" s="217">
        <f>+D20+D19+D21</f>
        <v>4551137207.8940449</v>
      </c>
      <c r="E22" s="216" t="s">
        <v>218</v>
      </c>
      <c r="F22" s="217">
        <f>+F20+F19+F21</f>
        <v>4502418072.0798998</v>
      </c>
      <c r="G22" s="216" t="s">
        <v>218</v>
      </c>
      <c r="H22" s="400">
        <f>+H20+H19+H21</f>
        <v>4482250075.1520996</v>
      </c>
      <c r="I22" s="400">
        <v>4502195790.1599998</v>
      </c>
      <c r="J22" s="145"/>
    </row>
    <row r="24" spans="2:10" x14ac:dyDescent="0.3">
      <c r="B24" s="212"/>
      <c r="C24" s="467">
        <f>+D32/$C$11</f>
        <v>3.5435045943747698</v>
      </c>
      <c r="D24" s="213">
        <v>4</v>
      </c>
      <c r="E24" s="467">
        <f>+F32/$C$11</f>
        <v>3.5464711962499931</v>
      </c>
      <c r="F24" s="218">
        <v>5</v>
      </c>
      <c r="G24" s="467">
        <f>+H32/$C$11</f>
        <v>3.5372120674433121</v>
      </c>
      <c r="H24" s="218">
        <v>6</v>
      </c>
    </row>
    <row r="25" spans="2:10" x14ac:dyDescent="0.3">
      <c r="B25" s="212"/>
      <c r="C25" s="214" t="s">
        <v>102</v>
      </c>
      <c r="D25" s="215">
        <v>3533289319</v>
      </c>
      <c r="E25" s="214" t="s">
        <v>102</v>
      </c>
      <c r="F25" s="215">
        <v>3531987828</v>
      </c>
      <c r="G25" s="214" t="s">
        <v>102</v>
      </c>
      <c r="H25" s="215">
        <v>3526515473</v>
      </c>
    </row>
    <row r="26" spans="2:10" x14ac:dyDescent="0.3">
      <c r="B26" t="s">
        <v>219</v>
      </c>
      <c r="C26" s="214">
        <v>21</v>
      </c>
      <c r="D26" s="215">
        <f>+D25*C26/100</f>
        <v>741990756.99000001</v>
      </c>
      <c r="E26" s="214">
        <v>20</v>
      </c>
      <c r="F26" s="215">
        <f>+F25*E26/100</f>
        <v>706397565.60000002</v>
      </c>
      <c r="G26" s="214">
        <v>21</v>
      </c>
      <c r="H26" s="215">
        <f>+H25*G26/100</f>
        <v>740568249.33000004</v>
      </c>
    </row>
    <row r="27" spans="2:10" x14ac:dyDescent="0.3">
      <c r="B27" t="s">
        <v>136</v>
      </c>
      <c r="C27" s="214">
        <v>4</v>
      </c>
      <c r="D27" s="215">
        <f>+D25*C27/100</f>
        <v>141331572.75999999</v>
      </c>
      <c r="E27" s="214">
        <v>4</v>
      </c>
      <c r="F27" s="215">
        <f>+F25*E27/100</f>
        <v>141279513.12</v>
      </c>
      <c r="G27" s="214">
        <v>4</v>
      </c>
      <c r="H27" s="215">
        <f>+H25*G27/100</f>
        <v>141060618.91999999</v>
      </c>
    </row>
    <row r="28" spans="2:10" x14ac:dyDescent="0.3">
      <c r="B28" t="s">
        <v>137</v>
      </c>
      <c r="C28" s="214">
        <v>3</v>
      </c>
      <c r="D28" s="215">
        <f>+D25*C28/100</f>
        <v>105998679.56999999</v>
      </c>
      <c r="E28" s="214">
        <v>4</v>
      </c>
      <c r="F28" s="215">
        <f>+F25*E28/100</f>
        <v>141279513.12</v>
      </c>
      <c r="G28" s="214">
        <v>3</v>
      </c>
      <c r="H28" s="215">
        <f>+H25*G28/100</f>
        <v>105795464.19</v>
      </c>
    </row>
    <row r="29" spans="2:10" x14ac:dyDescent="0.3">
      <c r="B29" t="s">
        <v>138</v>
      </c>
      <c r="C29" s="214">
        <v>0.19</v>
      </c>
      <c r="D29" s="215">
        <f>+D28*C29</f>
        <v>20139749.118299998</v>
      </c>
      <c r="E29" s="214">
        <v>0.19</v>
      </c>
      <c r="F29" s="215">
        <f>+F28*E29</f>
        <v>26843107.492800001</v>
      </c>
      <c r="G29" s="214">
        <v>0.19</v>
      </c>
      <c r="H29" s="215">
        <f>+H28*G29</f>
        <v>20101138.1961</v>
      </c>
    </row>
    <row r="30" spans="2:10" x14ac:dyDescent="0.3">
      <c r="B30" t="s">
        <v>139</v>
      </c>
      <c r="C30" s="214" t="s">
        <v>101</v>
      </c>
      <c r="D30" s="215">
        <f>+D26+D27+D28+D25</f>
        <v>4522610328.3199997</v>
      </c>
      <c r="E30" s="214" t="s">
        <v>101</v>
      </c>
      <c r="F30" s="215">
        <f>+F26+F27+F28+F25</f>
        <v>4520944419.8400002</v>
      </c>
      <c r="G30" s="214" t="s">
        <v>101</v>
      </c>
      <c r="H30" s="215">
        <f>+H26+H27+H28+H25</f>
        <v>4513939805.4400005</v>
      </c>
    </row>
    <row r="31" spans="2:10" x14ac:dyDescent="0.3">
      <c r="B31" t="s">
        <v>135</v>
      </c>
      <c r="C31" s="214" t="s">
        <v>135</v>
      </c>
      <c r="D31" s="215">
        <v>23175455</v>
      </c>
      <c r="E31" s="214"/>
      <c r="F31" s="215">
        <v>21960571.969999999</v>
      </c>
      <c r="G31" s="214"/>
      <c r="H31" s="215">
        <v>23776455</v>
      </c>
    </row>
    <row r="32" spans="2:10" x14ac:dyDescent="0.3">
      <c r="B32" t="s">
        <v>8</v>
      </c>
      <c r="C32" s="216" t="s">
        <v>218</v>
      </c>
      <c r="D32" s="217">
        <f>+D30+D29+D31</f>
        <v>4565925532.4383001</v>
      </c>
      <c r="E32" s="216" t="s">
        <v>218</v>
      </c>
      <c r="F32" s="217">
        <f>+F30+F29+F31</f>
        <v>4569748099.3028002</v>
      </c>
      <c r="G32" s="216" t="s">
        <v>218</v>
      </c>
      <c r="H32" s="217">
        <f>+H30+H29+H31</f>
        <v>4557817398.6361008</v>
      </c>
    </row>
    <row r="33" spans="2:10" x14ac:dyDescent="0.3">
      <c r="J33" s="212"/>
    </row>
    <row r="34" spans="2:10" x14ac:dyDescent="0.3">
      <c r="B34" s="212"/>
      <c r="C34" s="467">
        <f>+D42/$C$11</f>
        <v>3.5475951042096283</v>
      </c>
      <c r="D34" s="213">
        <v>7</v>
      </c>
      <c r="E34" s="467">
        <f>+F42/$C$11</f>
        <v>3.5338226745110681</v>
      </c>
      <c r="F34" s="218">
        <v>8</v>
      </c>
      <c r="G34" s="467">
        <f>+H42/$C$11</f>
        <v>3.5404214307370463</v>
      </c>
      <c r="H34" s="218">
        <v>9</v>
      </c>
    </row>
    <row r="35" spans="2:10" x14ac:dyDescent="0.3">
      <c r="B35" s="212"/>
      <c r="C35" s="214" t="s">
        <v>102</v>
      </c>
      <c r="D35" s="215">
        <v>3536929173</v>
      </c>
      <c r="E35" s="214" t="s">
        <v>102</v>
      </c>
      <c r="F35" s="215">
        <v>3524526469</v>
      </c>
      <c r="G35" s="214" t="s">
        <v>102</v>
      </c>
      <c r="H35" s="215">
        <v>3545458060</v>
      </c>
    </row>
    <row r="36" spans="2:10" x14ac:dyDescent="0.3">
      <c r="B36" t="s">
        <v>219</v>
      </c>
      <c r="C36" s="214">
        <v>21</v>
      </c>
      <c r="D36" s="215">
        <f>+D35*C36/100</f>
        <v>742755126.33000004</v>
      </c>
      <c r="E36" s="214">
        <v>21</v>
      </c>
      <c r="F36" s="215">
        <f>+F35*E36/100</f>
        <v>740150558.49000001</v>
      </c>
      <c r="G36" s="214">
        <v>21</v>
      </c>
      <c r="H36" s="215">
        <f>+H35*G36/100</f>
        <v>744546192.60000002</v>
      </c>
    </row>
    <row r="37" spans="2:10" x14ac:dyDescent="0.3">
      <c r="B37" t="s">
        <v>136</v>
      </c>
      <c r="C37" s="214">
        <v>4</v>
      </c>
      <c r="D37" s="215">
        <f>+D35*C37/100</f>
        <v>141477166.91999999</v>
      </c>
      <c r="E37" s="214">
        <v>4</v>
      </c>
      <c r="F37" s="215">
        <f>+F35*E37/100</f>
        <v>140981058.75999999</v>
      </c>
      <c r="G37" s="214">
        <v>4</v>
      </c>
      <c r="H37" s="215">
        <f>+H35*G37/100</f>
        <v>141818322.40000001</v>
      </c>
    </row>
    <row r="38" spans="2:10" x14ac:dyDescent="0.3">
      <c r="B38" t="s">
        <v>137</v>
      </c>
      <c r="C38" s="214">
        <v>3</v>
      </c>
      <c r="D38" s="215">
        <f>+D35*C38/100</f>
        <v>106107875.19</v>
      </c>
      <c r="E38" s="214">
        <v>3</v>
      </c>
      <c r="F38" s="215">
        <f>+F35*E38/100</f>
        <v>105735794.06999999</v>
      </c>
      <c r="G38" s="214">
        <v>3</v>
      </c>
      <c r="H38" s="215">
        <f>+H35*G38/100</f>
        <v>106363741.8</v>
      </c>
    </row>
    <row r="39" spans="2:10" x14ac:dyDescent="0.3">
      <c r="B39" t="s">
        <v>138</v>
      </c>
      <c r="C39" s="214">
        <v>0.19</v>
      </c>
      <c r="D39" s="215">
        <f>+D38*C39</f>
        <v>20160496.2861</v>
      </c>
      <c r="E39" s="214">
        <v>0.19</v>
      </c>
      <c r="F39" s="215">
        <f>+F38*E39</f>
        <v>20089800.873299997</v>
      </c>
      <c r="G39" s="214">
        <v>0</v>
      </c>
      <c r="H39" s="401">
        <f>+G39*H38</f>
        <v>0</v>
      </c>
    </row>
    <row r="40" spans="2:10" x14ac:dyDescent="0.3">
      <c r="B40" t="s">
        <v>139</v>
      </c>
      <c r="C40" s="214" t="s">
        <v>101</v>
      </c>
      <c r="D40" s="215">
        <f>+D36+D37+D38+D35</f>
        <v>4527269341.4400005</v>
      </c>
      <c r="E40" s="214" t="s">
        <v>101</v>
      </c>
      <c r="F40" s="215">
        <f>+F36+F37+F38+F35</f>
        <v>4511393880.3199997</v>
      </c>
      <c r="G40" s="214" t="s">
        <v>101</v>
      </c>
      <c r="H40" s="215">
        <f>+H36+H37+H38+H35</f>
        <v>4538186316.8000002</v>
      </c>
    </row>
    <row r="41" spans="2:10" x14ac:dyDescent="0.3">
      <c r="B41" t="s">
        <v>135</v>
      </c>
      <c r="C41" s="214" t="s">
        <v>135</v>
      </c>
      <c r="D41" s="215">
        <v>23766455</v>
      </c>
      <c r="E41" s="214"/>
      <c r="F41" s="215">
        <v>21966370</v>
      </c>
      <c r="G41" s="214"/>
      <c r="H41" s="215">
        <v>23766455</v>
      </c>
    </row>
    <row r="42" spans="2:10" x14ac:dyDescent="0.3">
      <c r="B42" t="s">
        <v>8</v>
      </c>
      <c r="C42" s="216" t="s">
        <v>218</v>
      </c>
      <c r="D42" s="217">
        <f>+D40+D39+D41</f>
        <v>4571196292.7261009</v>
      </c>
      <c r="E42" s="216" t="s">
        <v>218</v>
      </c>
      <c r="F42" s="217">
        <f>+F40+F39+F41</f>
        <v>4553450051.1932993</v>
      </c>
      <c r="G42" s="216" t="s">
        <v>218</v>
      </c>
      <c r="H42" s="400">
        <f>+H40+H39+H41</f>
        <v>4561952771.8000002</v>
      </c>
    </row>
    <row r="45" spans="2:10" x14ac:dyDescent="0.3">
      <c r="E45" s="392"/>
      <c r="F45" s="392"/>
      <c r="H45" s="284"/>
    </row>
    <row r="46" spans="2:10" x14ac:dyDescent="0.3">
      <c r="E46" s="392"/>
      <c r="F46" s="392"/>
    </row>
    <row r="47" spans="2:10" x14ac:dyDescent="0.3">
      <c r="E47" s="392"/>
      <c r="F47" s="392"/>
    </row>
    <row r="48" spans="2:10" x14ac:dyDescent="0.3">
      <c r="E48" s="392"/>
      <c r="F48" s="392"/>
      <c r="H48" s="285"/>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8"/>
  <sheetViews>
    <sheetView workbookViewId="0">
      <selection activeCell="C15" sqref="C15:C21"/>
    </sheetView>
  </sheetViews>
  <sheetFormatPr baseColWidth="10" defaultRowHeight="14.4" x14ac:dyDescent="0.3"/>
  <cols>
    <col min="3" max="3" width="13" bestFit="1" customWidth="1"/>
  </cols>
  <sheetData>
    <row r="2" spans="2:3" x14ac:dyDescent="0.3">
      <c r="B2">
        <v>1992</v>
      </c>
      <c r="C2" s="60">
        <v>65190</v>
      </c>
    </row>
    <row r="3" spans="2:3" x14ac:dyDescent="0.3">
      <c r="B3" s="57">
        <v>1993</v>
      </c>
      <c r="C3" s="60">
        <v>81510</v>
      </c>
    </row>
    <row r="4" spans="2:3" x14ac:dyDescent="0.3">
      <c r="B4" s="57">
        <v>1994</v>
      </c>
      <c r="C4" s="60">
        <v>98700</v>
      </c>
    </row>
    <row r="5" spans="2:3" x14ac:dyDescent="0.3">
      <c r="B5" s="57">
        <v>1995</v>
      </c>
      <c r="C5" s="60">
        <v>118933.5</v>
      </c>
    </row>
    <row r="6" spans="2:3" x14ac:dyDescent="0.3">
      <c r="B6" s="57">
        <v>1997</v>
      </c>
      <c r="C6" s="60">
        <v>172005</v>
      </c>
    </row>
    <row r="7" spans="2:3" x14ac:dyDescent="0.3">
      <c r="B7" s="57">
        <v>1998</v>
      </c>
      <c r="C7" s="60">
        <v>203826</v>
      </c>
    </row>
    <row r="8" spans="2:3" x14ac:dyDescent="0.3">
      <c r="B8" s="57">
        <v>1999</v>
      </c>
      <c r="C8" s="60">
        <v>236460</v>
      </c>
    </row>
    <row r="9" spans="2:3" x14ac:dyDescent="0.3">
      <c r="B9" s="57">
        <v>2000</v>
      </c>
      <c r="C9" s="60">
        <v>260100</v>
      </c>
    </row>
    <row r="10" spans="2:3" x14ac:dyDescent="0.3">
      <c r="B10" s="57">
        <v>2001</v>
      </c>
      <c r="C10" s="60">
        <v>286000</v>
      </c>
    </row>
    <row r="11" spans="2:3" x14ac:dyDescent="0.3">
      <c r="B11" s="57">
        <v>2002</v>
      </c>
      <c r="C11" s="60">
        <v>309000</v>
      </c>
    </row>
    <row r="12" spans="2:3" x14ac:dyDescent="0.3">
      <c r="B12" s="57">
        <v>2003</v>
      </c>
      <c r="C12" s="60">
        <v>332000</v>
      </c>
    </row>
    <row r="13" spans="2:3" x14ac:dyDescent="0.3">
      <c r="B13" s="57">
        <v>2004</v>
      </c>
      <c r="C13" s="60">
        <v>358000</v>
      </c>
    </row>
    <row r="14" spans="2:3" x14ac:dyDescent="0.3">
      <c r="B14" s="57">
        <v>2005</v>
      </c>
      <c r="C14" s="60">
        <v>381500</v>
      </c>
    </row>
    <row r="15" spans="2:3" x14ac:dyDescent="0.3">
      <c r="B15" s="57">
        <v>2006</v>
      </c>
      <c r="C15" s="60">
        <v>408000</v>
      </c>
    </row>
    <row r="16" spans="2:3" x14ac:dyDescent="0.3">
      <c r="B16" s="57">
        <v>2007</v>
      </c>
      <c r="C16" s="60">
        <v>433700</v>
      </c>
    </row>
    <row r="17" spans="2:3" x14ac:dyDescent="0.3">
      <c r="B17" s="57">
        <v>2008</v>
      </c>
      <c r="C17" s="60">
        <v>461500</v>
      </c>
    </row>
    <row r="18" spans="2:3" x14ac:dyDescent="0.3">
      <c r="B18" s="57">
        <v>2009</v>
      </c>
      <c r="C18" s="60">
        <v>496900</v>
      </c>
    </row>
    <row r="19" spans="2:3" x14ac:dyDescent="0.3">
      <c r="B19" s="57">
        <v>2010</v>
      </c>
      <c r="C19" s="60">
        <v>515000</v>
      </c>
    </row>
    <row r="20" spans="2:3" x14ac:dyDescent="0.3">
      <c r="B20" s="57">
        <v>2011</v>
      </c>
      <c r="C20" s="60">
        <v>535600</v>
      </c>
    </row>
    <row r="21" spans="2:3" x14ac:dyDescent="0.3">
      <c r="B21" s="57">
        <v>2012</v>
      </c>
      <c r="C21" s="60">
        <v>566700</v>
      </c>
    </row>
    <row r="22" spans="2:3" x14ac:dyDescent="0.3">
      <c r="B22" s="57">
        <v>2013</v>
      </c>
      <c r="C22" s="60">
        <v>589500</v>
      </c>
    </row>
    <row r="23" spans="2:3" x14ac:dyDescent="0.3">
      <c r="B23" s="57">
        <v>2014</v>
      </c>
      <c r="C23" s="60">
        <v>616000</v>
      </c>
    </row>
    <row r="24" spans="2:3" x14ac:dyDescent="0.3">
      <c r="B24" s="57">
        <v>2015</v>
      </c>
      <c r="C24" s="60">
        <v>644350</v>
      </c>
    </row>
    <row r="25" spans="2:3" x14ac:dyDescent="0.3">
      <c r="B25" s="57">
        <v>2016</v>
      </c>
      <c r="C25" s="60">
        <v>689455</v>
      </c>
    </row>
    <row r="26" spans="2:3" x14ac:dyDescent="0.3">
      <c r="B26" s="57">
        <v>2017</v>
      </c>
      <c r="C26" s="60">
        <v>737717</v>
      </c>
    </row>
    <row r="27" spans="2:3" x14ac:dyDescent="0.3">
      <c r="B27" s="57">
        <v>2018</v>
      </c>
      <c r="C27" s="60">
        <v>781242</v>
      </c>
    </row>
    <row r="28" spans="2:3" x14ac:dyDescent="0.3">
      <c r="B28" s="57">
        <v>2019</v>
      </c>
      <c r="C28" s="60">
        <v>828116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45"/>
  <sheetViews>
    <sheetView topLeftCell="C2" workbookViewId="0">
      <pane ySplit="2892" topLeftCell="A31" activePane="bottomLeft"/>
      <selection activeCell="A2" sqref="A2"/>
      <selection pane="bottomLeft" activeCell="J44" sqref="J44"/>
    </sheetView>
  </sheetViews>
  <sheetFormatPr baseColWidth="10" defaultRowHeight="14.4" x14ac:dyDescent="0.3"/>
  <cols>
    <col min="1" max="1" width="9.88671875" style="73" customWidth="1"/>
    <col min="2" max="2" width="49.33203125" style="74" customWidth="1"/>
    <col min="3" max="3" width="9.33203125" style="73" customWidth="1"/>
    <col min="4" max="4" width="13.44140625" style="126" customWidth="1"/>
    <col min="5" max="5" width="13.44140625" style="73" customWidth="1"/>
    <col min="6" max="6" width="19.5546875" style="73" customWidth="1"/>
    <col min="7" max="7" width="13.44140625" customWidth="1"/>
    <col min="8" max="8" width="15.109375" bestFit="1" customWidth="1"/>
    <col min="10" max="10" width="15.44140625" customWidth="1"/>
    <col min="12" max="12" width="16.33203125" bestFit="1" customWidth="1"/>
    <col min="14" max="14" width="15.109375" bestFit="1" customWidth="1"/>
    <col min="16" max="16" width="15.109375" bestFit="1" customWidth="1"/>
  </cols>
  <sheetData>
    <row r="2" spans="1:16" x14ac:dyDescent="0.3">
      <c r="A2" s="61" t="s">
        <v>37</v>
      </c>
      <c r="B2" s="62"/>
      <c r="C2" s="63"/>
      <c r="D2" s="64"/>
      <c r="E2" s="63"/>
      <c r="F2" s="63"/>
    </row>
    <row r="3" spans="1:16" x14ac:dyDescent="0.3">
      <c r="A3" s="65" t="s">
        <v>38</v>
      </c>
      <c r="B3" s="66"/>
      <c r="C3" s="67"/>
      <c r="D3" s="68"/>
      <c r="E3" s="67"/>
      <c r="F3" s="67"/>
    </row>
    <row r="4" spans="1:16" ht="15.6" x14ac:dyDescent="0.3">
      <c r="A4" s="69" t="s">
        <v>88</v>
      </c>
      <c r="B4" s="70"/>
      <c r="C4" s="71"/>
      <c r="D4" s="72"/>
      <c r="E4" s="71"/>
      <c r="F4" s="71"/>
    </row>
    <row r="5" spans="1:16" ht="15.6" x14ac:dyDescent="0.3">
      <c r="A5" s="69" t="s">
        <v>39</v>
      </c>
      <c r="B5" s="70"/>
      <c r="C5" s="71"/>
      <c r="D5" s="72"/>
      <c r="E5" s="71"/>
      <c r="F5" s="71"/>
    </row>
    <row r="6" spans="1:16" ht="21" x14ac:dyDescent="0.4">
      <c r="D6" s="75"/>
      <c r="E6" s="76"/>
      <c r="G6" s="143">
        <v>1</v>
      </c>
      <c r="I6" s="143">
        <v>2</v>
      </c>
      <c r="K6" s="148" t="str">
        <f>+Experiencia!B17</f>
        <v>003</v>
      </c>
      <c r="M6" s="148" t="str">
        <f>+Experiencia!B18</f>
        <v>004</v>
      </c>
      <c r="O6" s="143">
        <v>5</v>
      </c>
    </row>
    <row r="7" spans="1:16" ht="28.8" thickBot="1" x14ac:dyDescent="0.35">
      <c r="A7" s="77" t="s">
        <v>40</v>
      </c>
      <c r="B7" s="78" t="s">
        <v>41</v>
      </c>
      <c r="C7" s="78" t="s">
        <v>42</v>
      </c>
      <c r="D7" s="78"/>
      <c r="E7" s="78" t="s">
        <v>43</v>
      </c>
      <c r="F7" s="149" t="s">
        <v>8</v>
      </c>
      <c r="G7" s="142" t="s">
        <v>43</v>
      </c>
      <c r="H7" s="78" t="s">
        <v>8</v>
      </c>
      <c r="I7" s="142" t="s">
        <v>43</v>
      </c>
      <c r="J7" s="78" t="s">
        <v>8</v>
      </c>
      <c r="K7" s="142" t="s">
        <v>43</v>
      </c>
      <c r="L7" s="78" t="s">
        <v>8</v>
      </c>
      <c r="M7" s="142" t="s">
        <v>43</v>
      </c>
      <c r="N7" s="78" t="s">
        <v>8</v>
      </c>
      <c r="O7" s="142" t="s">
        <v>43</v>
      </c>
      <c r="P7" s="78" t="s">
        <v>8</v>
      </c>
    </row>
    <row r="8" spans="1:16" x14ac:dyDescent="0.3">
      <c r="A8" s="79" t="s">
        <v>44</v>
      </c>
      <c r="B8" s="80" t="s">
        <v>45</v>
      </c>
      <c r="C8" s="81" t="s">
        <v>46</v>
      </c>
      <c r="D8" s="150">
        <v>10403.92</v>
      </c>
      <c r="E8" s="82">
        <v>511.28205956872574</v>
      </c>
      <c r="F8" s="104">
        <f>D8*E8</f>
        <v>5319337.6451882571</v>
      </c>
      <c r="G8">
        <v>496</v>
      </c>
      <c r="H8" s="144">
        <f>+G8*D8</f>
        <v>5160344.32</v>
      </c>
      <c r="K8">
        <v>544</v>
      </c>
      <c r="L8" s="144">
        <f>K8*$D8</f>
        <v>5659732.4800000004</v>
      </c>
      <c r="O8">
        <v>270</v>
      </c>
      <c r="P8" s="144">
        <f>O8*$D8</f>
        <v>2809058.4</v>
      </c>
    </row>
    <row r="9" spans="1:16" ht="24" x14ac:dyDescent="0.3">
      <c r="A9" s="83" t="s">
        <v>47</v>
      </c>
      <c r="B9" s="84" t="s">
        <v>48</v>
      </c>
      <c r="C9" s="85" t="s">
        <v>49</v>
      </c>
      <c r="D9" s="151">
        <v>7.65</v>
      </c>
      <c r="E9" s="86">
        <v>226223.48328518364</v>
      </c>
      <c r="F9" s="109">
        <f>E9*D9</f>
        <v>1730609.6471316549</v>
      </c>
      <c r="G9">
        <v>226223</v>
      </c>
      <c r="H9" s="144">
        <f t="shared" ref="H9:H12" si="0">+G9*D9</f>
        <v>1730605.9500000002</v>
      </c>
      <c r="K9">
        <v>221284</v>
      </c>
      <c r="L9" s="144">
        <f t="shared" ref="L9:L12" si="1">K9*$D9</f>
        <v>1692822.6</v>
      </c>
      <c r="O9">
        <v>191207</v>
      </c>
      <c r="P9" s="144">
        <f t="shared" ref="P9:P12" si="2">O9*$D9</f>
        <v>1462733.55</v>
      </c>
    </row>
    <row r="10" spans="1:16" ht="24" x14ac:dyDescent="0.3">
      <c r="A10" s="83" t="s">
        <v>50</v>
      </c>
      <c r="B10" s="84" t="s">
        <v>51</v>
      </c>
      <c r="C10" s="85" t="s">
        <v>49</v>
      </c>
      <c r="D10" s="151">
        <v>22.08</v>
      </c>
      <c r="E10" s="86">
        <v>250053.94366197183</v>
      </c>
      <c r="F10" s="109">
        <f t="shared" ref="F10:F12" si="3">E10*D10</f>
        <v>5521191.0760563379</v>
      </c>
      <c r="G10">
        <v>250053</v>
      </c>
      <c r="H10" s="144">
        <f t="shared" si="0"/>
        <v>5521170.2399999993</v>
      </c>
      <c r="K10">
        <v>244510</v>
      </c>
      <c r="L10" s="144">
        <f t="shared" si="1"/>
        <v>5398780.7999999998</v>
      </c>
      <c r="O10">
        <v>198343</v>
      </c>
      <c r="P10" s="144">
        <f t="shared" si="2"/>
        <v>4379413.4399999995</v>
      </c>
    </row>
    <row r="11" spans="1:16" ht="24" x14ac:dyDescent="0.3">
      <c r="A11" s="83" t="s">
        <v>52</v>
      </c>
      <c r="B11" s="84" t="s">
        <v>53</v>
      </c>
      <c r="C11" s="85" t="s">
        <v>49</v>
      </c>
      <c r="D11" s="151">
        <v>18</v>
      </c>
      <c r="E11" s="86">
        <v>208028.46045197739</v>
      </c>
      <c r="F11" s="109">
        <f t="shared" si="3"/>
        <v>3744512.2881355928</v>
      </c>
      <c r="G11">
        <v>208028</v>
      </c>
      <c r="H11" s="144">
        <f t="shared" si="0"/>
        <v>3744504</v>
      </c>
      <c r="K11">
        <v>205800</v>
      </c>
      <c r="L11" s="144">
        <f t="shared" si="1"/>
        <v>3704400</v>
      </c>
      <c r="O11">
        <v>174634</v>
      </c>
      <c r="P11" s="144">
        <f t="shared" si="2"/>
        <v>3143412</v>
      </c>
    </row>
    <row r="12" spans="1:16" ht="24.6" thickBot="1" x14ac:dyDescent="0.35">
      <c r="A12" s="87" t="s">
        <v>54</v>
      </c>
      <c r="B12" s="88" t="s">
        <v>55</v>
      </c>
      <c r="C12" s="89" t="s">
        <v>49</v>
      </c>
      <c r="D12" s="152">
        <v>51.96</v>
      </c>
      <c r="E12" s="90">
        <v>230268.0448768241</v>
      </c>
      <c r="F12" s="114">
        <f t="shared" si="3"/>
        <v>11964727.61179978</v>
      </c>
      <c r="G12">
        <v>230268</v>
      </c>
      <c r="H12" s="144">
        <f t="shared" si="0"/>
        <v>11964725.279999999</v>
      </c>
      <c r="K12">
        <v>225204</v>
      </c>
      <c r="L12" s="144">
        <f t="shared" si="1"/>
        <v>11701599.84</v>
      </c>
      <c r="O12">
        <v>181207</v>
      </c>
      <c r="P12" s="144">
        <f t="shared" si="2"/>
        <v>9415515.7200000007</v>
      </c>
    </row>
    <row r="13" spans="1:16" x14ac:dyDescent="0.3">
      <c r="A13" s="91" t="s">
        <v>34</v>
      </c>
      <c r="B13" s="92" t="s">
        <v>34</v>
      </c>
      <c r="C13" s="91" t="s">
        <v>34</v>
      </c>
      <c r="D13" s="93"/>
      <c r="E13" s="91"/>
      <c r="F13" s="94">
        <f>SUM(F8:F12)</f>
        <v>28280378.268311623</v>
      </c>
      <c r="H13" s="144">
        <f>SUM(H8:H12)</f>
        <v>28121349.789999999</v>
      </c>
      <c r="L13" s="145">
        <f>SUM(L8:L12)</f>
        <v>28157335.719999999</v>
      </c>
      <c r="P13" s="145">
        <f>SUM(P8:P12)</f>
        <v>21210133.109999999</v>
      </c>
    </row>
    <row r="14" spans="1:16" x14ac:dyDescent="0.3">
      <c r="A14" s="91" t="s">
        <v>34</v>
      </c>
      <c r="B14" s="92" t="s">
        <v>34</v>
      </c>
      <c r="C14" s="91" t="s">
        <v>34</v>
      </c>
      <c r="D14" s="93"/>
      <c r="E14" s="91"/>
      <c r="F14" s="91"/>
    </row>
    <row r="15" spans="1:16" ht="15" thickBot="1" x14ac:dyDescent="0.35">
      <c r="A15" s="95" t="s">
        <v>40</v>
      </c>
      <c r="B15" s="96" t="s">
        <v>56</v>
      </c>
      <c r="C15" s="97"/>
      <c r="D15" s="98"/>
      <c r="E15" s="97"/>
      <c r="F15" s="99"/>
    </row>
    <row r="16" spans="1:16" x14ac:dyDescent="0.3">
      <c r="A16" s="100" t="s">
        <v>57</v>
      </c>
      <c r="B16" s="101" t="s">
        <v>45</v>
      </c>
      <c r="C16" s="81" t="s">
        <v>46</v>
      </c>
      <c r="D16" s="102">
        <v>22628</v>
      </c>
      <c r="E16" s="103">
        <v>511.28205861711973</v>
      </c>
      <c r="F16" s="104">
        <f>E16*D16</f>
        <v>11569290.422388185</v>
      </c>
      <c r="G16">
        <v>496</v>
      </c>
      <c r="H16" s="144">
        <f t="shared" ref="H16:H24" si="4">+G16*D16</f>
        <v>11223488</v>
      </c>
      <c r="K16">
        <v>490</v>
      </c>
      <c r="L16" s="144">
        <f t="shared" ref="L16:L24" si="5">K16*$D16</f>
        <v>11087720</v>
      </c>
      <c r="O16">
        <v>270</v>
      </c>
      <c r="P16" s="144">
        <f t="shared" ref="P16:P24" si="6">O16*$D16</f>
        <v>6109560</v>
      </c>
    </row>
    <row r="17" spans="1:16" x14ac:dyDescent="0.3">
      <c r="A17" s="105" t="s">
        <v>58</v>
      </c>
      <c r="B17" s="106" t="s">
        <v>59</v>
      </c>
      <c r="C17" s="85" t="s">
        <v>60</v>
      </c>
      <c r="D17" s="107">
        <v>595</v>
      </c>
      <c r="E17" s="108">
        <v>26476.844037391664</v>
      </c>
      <c r="F17" s="109">
        <f>E17*D17</f>
        <v>15753722.202248041</v>
      </c>
      <c r="G17">
        <v>26300</v>
      </c>
      <c r="H17" s="144">
        <f t="shared" si="4"/>
        <v>15648500</v>
      </c>
      <c r="K17">
        <v>27460</v>
      </c>
      <c r="L17" s="144">
        <f t="shared" si="5"/>
        <v>16338700</v>
      </c>
      <c r="O17">
        <v>28361</v>
      </c>
      <c r="P17" s="144">
        <f t="shared" si="6"/>
        <v>16874795</v>
      </c>
    </row>
    <row r="18" spans="1:16" x14ac:dyDescent="0.3">
      <c r="A18" s="105" t="s">
        <v>61</v>
      </c>
      <c r="B18" s="106" t="s">
        <v>62</v>
      </c>
      <c r="C18" s="85" t="s">
        <v>49</v>
      </c>
      <c r="D18" s="107">
        <v>82</v>
      </c>
      <c r="E18" s="108">
        <v>266706.38066652865</v>
      </c>
      <c r="F18" s="109">
        <f t="shared" ref="F18:F24" si="7">E18*D18</f>
        <v>21869923.214655351</v>
      </c>
      <c r="G18">
        <v>260000</v>
      </c>
      <c r="H18" s="144">
        <f t="shared" si="4"/>
        <v>21320000</v>
      </c>
      <c r="K18">
        <v>252780</v>
      </c>
      <c r="L18" s="144">
        <f t="shared" si="5"/>
        <v>20727960</v>
      </c>
      <c r="O18">
        <v>270207</v>
      </c>
      <c r="P18" s="144">
        <f t="shared" si="6"/>
        <v>22156974</v>
      </c>
    </row>
    <row r="19" spans="1:16" x14ac:dyDescent="0.3">
      <c r="A19" s="105" t="s">
        <v>63</v>
      </c>
      <c r="B19" s="106" t="s">
        <v>64</v>
      </c>
      <c r="C19" s="85" t="s">
        <v>65</v>
      </c>
      <c r="D19" s="107">
        <v>150</v>
      </c>
      <c r="E19" s="108">
        <v>22325</v>
      </c>
      <c r="F19" s="109">
        <f>E19*D19</f>
        <v>3348750</v>
      </c>
      <c r="G19">
        <v>22325</v>
      </c>
      <c r="H19" s="144">
        <f t="shared" si="4"/>
        <v>3348750</v>
      </c>
      <c r="K19">
        <v>20580</v>
      </c>
      <c r="L19" s="144">
        <f t="shared" si="5"/>
        <v>3087000</v>
      </c>
      <c r="O19">
        <v>16347</v>
      </c>
      <c r="P19" s="144">
        <f t="shared" si="6"/>
        <v>2452050</v>
      </c>
    </row>
    <row r="20" spans="1:16" x14ac:dyDescent="0.3">
      <c r="A20" s="105" t="s">
        <v>66</v>
      </c>
      <c r="B20" s="106" t="s">
        <v>67</v>
      </c>
      <c r="C20" s="85" t="s">
        <v>65</v>
      </c>
      <c r="D20" s="107">
        <v>75</v>
      </c>
      <c r="E20" s="108">
        <v>22325</v>
      </c>
      <c r="F20" s="109">
        <f t="shared" si="7"/>
        <v>1674375</v>
      </c>
      <c r="G20">
        <v>22325</v>
      </c>
      <c r="H20" s="144">
        <f t="shared" si="4"/>
        <v>1674375</v>
      </c>
      <c r="K20">
        <v>20580</v>
      </c>
      <c r="L20" s="144">
        <f t="shared" si="5"/>
        <v>1543500</v>
      </c>
      <c r="O20">
        <v>16347</v>
      </c>
      <c r="P20" s="144">
        <f t="shared" si="6"/>
        <v>1226025</v>
      </c>
    </row>
    <row r="21" spans="1:16" x14ac:dyDescent="0.3">
      <c r="A21" s="105" t="s">
        <v>68</v>
      </c>
      <c r="B21" s="106" t="s">
        <v>69</v>
      </c>
      <c r="C21" s="85" t="s">
        <v>65</v>
      </c>
      <c r="D21" s="107">
        <v>84</v>
      </c>
      <c r="E21" s="108">
        <v>22325</v>
      </c>
      <c r="F21" s="109">
        <f t="shared" si="7"/>
        <v>1875300</v>
      </c>
      <c r="G21">
        <v>22325</v>
      </c>
      <c r="H21" s="144">
        <f t="shared" si="4"/>
        <v>1875300</v>
      </c>
      <c r="K21">
        <v>20580</v>
      </c>
      <c r="L21" s="144">
        <f t="shared" si="5"/>
        <v>1728720</v>
      </c>
      <c r="O21">
        <v>16347</v>
      </c>
      <c r="P21" s="144">
        <f t="shared" si="6"/>
        <v>1373148</v>
      </c>
    </row>
    <row r="22" spans="1:16" x14ac:dyDescent="0.3">
      <c r="A22" s="105" t="s">
        <v>70</v>
      </c>
      <c r="B22" s="106" t="s">
        <v>71</v>
      </c>
      <c r="C22" s="85" t="s">
        <v>65</v>
      </c>
      <c r="D22" s="107">
        <v>21</v>
      </c>
      <c r="E22" s="108">
        <v>16620.637254901962</v>
      </c>
      <c r="F22" s="109">
        <f t="shared" si="7"/>
        <v>349033.3823529412</v>
      </c>
      <c r="G22">
        <v>16620</v>
      </c>
      <c r="H22" s="144">
        <f t="shared" si="4"/>
        <v>349020</v>
      </c>
      <c r="K22">
        <v>20580</v>
      </c>
      <c r="L22" s="144">
        <f t="shared" si="5"/>
        <v>432180</v>
      </c>
      <c r="O22">
        <v>16347</v>
      </c>
      <c r="P22" s="144">
        <f t="shared" si="6"/>
        <v>343287</v>
      </c>
    </row>
    <row r="23" spans="1:16" x14ac:dyDescent="0.3">
      <c r="A23" s="105" t="s">
        <v>72</v>
      </c>
      <c r="B23" s="106" t="s">
        <v>73</v>
      </c>
      <c r="C23" s="85" t="s">
        <v>49</v>
      </c>
      <c r="D23" s="107">
        <v>90</v>
      </c>
      <c r="E23" s="108">
        <v>260926.37865817238</v>
      </c>
      <c r="F23" s="109">
        <f t="shared" si="7"/>
        <v>23483374.079235513</v>
      </c>
      <c r="G23">
        <v>245000</v>
      </c>
      <c r="H23" s="144">
        <f t="shared" si="4"/>
        <v>22050000</v>
      </c>
      <c r="K23">
        <v>254800</v>
      </c>
      <c r="L23" s="144">
        <f t="shared" si="5"/>
        <v>22932000</v>
      </c>
      <c r="O23">
        <v>255767</v>
      </c>
      <c r="P23" s="144">
        <f t="shared" si="6"/>
        <v>23019030</v>
      </c>
    </row>
    <row r="24" spans="1:16" ht="24.6" thickBot="1" x14ac:dyDescent="0.35">
      <c r="A24" s="110" t="s">
        <v>74</v>
      </c>
      <c r="B24" s="111" t="s">
        <v>75</v>
      </c>
      <c r="C24" s="89" t="s">
        <v>60</v>
      </c>
      <c r="D24" s="112">
        <v>554</v>
      </c>
      <c r="E24" s="113">
        <v>26014.444672123227</v>
      </c>
      <c r="F24" s="114">
        <f t="shared" si="7"/>
        <v>14412002.348356267</v>
      </c>
      <c r="G24">
        <v>25390</v>
      </c>
      <c r="H24" s="144">
        <f t="shared" si="4"/>
        <v>14066060</v>
      </c>
      <c r="K24">
        <v>25480</v>
      </c>
      <c r="L24" s="144">
        <f t="shared" si="5"/>
        <v>14115920</v>
      </c>
      <c r="O24">
        <v>27647</v>
      </c>
      <c r="P24" s="144">
        <f t="shared" si="6"/>
        <v>15316438</v>
      </c>
    </row>
    <row r="25" spans="1:16" x14ac:dyDescent="0.3">
      <c r="A25" s="91" t="s">
        <v>34</v>
      </c>
      <c r="B25" s="92" t="s">
        <v>34</v>
      </c>
      <c r="C25" s="91" t="s">
        <v>34</v>
      </c>
      <c r="D25" s="93"/>
      <c r="E25" s="91"/>
      <c r="F25" s="94">
        <f>SUM(F16:F24)</f>
        <v>94335770.649236292</v>
      </c>
      <c r="H25" s="145">
        <f>SUM(H16:H24)</f>
        <v>91555493</v>
      </c>
      <c r="L25" s="145">
        <f>SUM(L16:L24)</f>
        <v>91993700</v>
      </c>
      <c r="P25" s="145">
        <f>SUM(P16:P24)</f>
        <v>88871307</v>
      </c>
    </row>
    <row r="26" spans="1:16" x14ac:dyDescent="0.3">
      <c r="A26" s="91" t="s">
        <v>34</v>
      </c>
      <c r="B26" s="92" t="s">
        <v>34</v>
      </c>
      <c r="C26" s="91" t="s">
        <v>34</v>
      </c>
      <c r="D26" s="93"/>
      <c r="E26" s="91"/>
      <c r="F26" s="91"/>
    </row>
    <row r="27" spans="1:16" x14ac:dyDescent="0.3">
      <c r="A27" s="91" t="s">
        <v>34</v>
      </c>
      <c r="B27" s="92" t="s">
        <v>34</v>
      </c>
      <c r="C27" s="91" t="s">
        <v>34</v>
      </c>
      <c r="D27" s="93"/>
      <c r="E27" s="91"/>
      <c r="F27" s="91"/>
    </row>
    <row r="28" spans="1:16" x14ac:dyDescent="0.3">
      <c r="A28" s="91" t="s">
        <v>34</v>
      </c>
      <c r="B28" s="92" t="s">
        <v>34</v>
      </c>
      <c r="C28" s="91" t="s">
        <v>34</v>
      </c>
      <c r="D28" s="93"/>
      <c r="E28" s="91"/>
      <c r="F28" s="91"/>
    </row>
    <row r="29" spans="1:16" x14ac:dyDescent="0.3">
      <c r="A29" s="115" t="s">
        <v>40</v>
      </c>
      <c r="B29" s="116" t="s">
        <v>77</v>
      </c>
      <c r="C29" s="117"/>
      <c r="D29" s="98"/>
      <c r="E29" s="97"/>
      <c r="F29" s="99"/>
    </row>
    <row r="30" spans="1:16" x14ac:dyDescent="0.3">
      <c r="A30" s="118" t="s">
        <v>78</v>
      </c>
      <c r="B30" s="119" t="s">
        <v>79</v>
      </c>
      <c r="C30" s="119" t="s">
        <v>76</v>
      </c>
      <c r="D30" s="120">
        <v>4</v>
      </c>
      <c r="E30" s="86">
        <v>30343.333333333332</v>
      </c>
      <c r="F30" s="109">
        <f t="shared" ref="F30:F32" si="8">E30*D30</f>
        <v>121373.33333333333</v>
      </c>
      <c r="G30">
        <v>30343</v>
      </c>
      <c r="H30" s="144">
        <f t="shared" ref="H30:H32" si="9">+G30*D30</f>
        <v>121372</v>
      </c>
      <c r="L30" s="145" t="e">
        <f>SUM(#REF!)</f>
        <v>#REF!</v>
      </c>
      <c r="P30" s="145" t="e">
        <f>SUM(#REF!)</f>
        <v>#REF!</v>
      </c>
    </row>
    <row r="31" spans="1:16" x14ac:dyDescent="0.3">
      <c r="A31" s="118" t="s">
        <v>80</v>
      </c>
      <c r="B31" s="119" t="s">
        <v>81</v>
      </c>
      <c r="C31" s="119" t="s">
        <v>76</v>
      </c>
      <c r="D31" s="120">
        <v>11</v>
      </c>
      <c r="E31" s="86">
        <v>30343.321428571428</v>
      </c>
      <c r="F31" s="109">
        <f t="shared" si="8"/>
        <v>333776.53571428568</v>
      </c>
      <c r="G31">
        <v>30343</v>
      </c>
      <c r="H31" s="144">
        <f t="shared" si="9"/>
        <v>333773</v>
      </c>
    </row>
    <row r="32" spans="1:16" ht="15" thickBot="1" x14ac:dyDescent="0.35">
      <c r="A32" s="123" t="s">
        <v>82</v>
      </c>
      <c r="B32" s="124" t="s">
        <v>83</v>
      </c>
      <c r="C32" s="124" t="s">
        <v>76</v>
      </c>
      <c r="D32" s="125">
        <v>10</v>
      </c>
      <c r="E32" s="90">
        <v>30343.3</v>
      </c>
      <c r="F32" s="114">
        <f t="shared" si="8"/>
        <v>303433</v>
      </c>
      <c r="G32">
        <v>30343</v>
      </c>
      <c r="H32" s="144">
        <f t="shared" si="9"/>
        <v>303430</v>
      </c>
    </row>
    <row r="33" spans="1:16" x14ac:dyDescent="0.3">
      <c r="A33" s="121" t="s">
        <v>34</v>
      </c>
      <c r="B33" s="121" t="s">
        <v>34</v>
      </c>
      <c r="C33" s="121" t="s">
        <v>34</v>
      </c>
      <c r="D33" s="122"/>
      <c r="E33" s="121"/>
      <c r="F33" s="94">
        <f>SUM(F30:F32)</f>
        <v>758582.86904761894</v>
      </c>
      <c r="H33" s="145">
        <f>SUM(H30:H32)</f>
        <v>758575</v>
      </c>
    </row>
    <row r="34" spans="1:16" x14ac:dyDescent="0.3">
      <c r="A34" s="121" t="s">
        <v>34</v>
      </c>
      <c r="B34" s="121" t="s">
        <v>34</v>
      </c>
      <c r="C34" s="121" t="s">
        <v>34</v>
      </c>
      <c r="D34" s="122"/>
      <c r="E34" s="121"/>
      <c r="F34" s="121"/>
    </row>
    <row r="36" spans="1:16" ht="15" thickBot="1" x14ac:dyDescent="0.35"/>
    <row r="37" spans="1:16" x14ac:dyDescent="0.3">
      <c r="B37" s="127" t="s">
        <v>84</v>
      </c>
      <c r="C37" s="128"/>
      <c r="D37" s="129"/>
      <c r="E37" s="130"/>
      <c r="F37" s="131">
        <f>SUM(F8:F34)/2</f>
        <v>123374731.78659555</v>
      </c>
      <c r="H37" s="144">
        <v>55169800</v>
      </c>
      <c r="J37" s="144">
        <v>55844532</v>
      </c>
      <c r="L37" s="145">
        <v>126628931</v>
      </c>
      <c r="N37" s="145">
        <v>120752399</v>
      </c>
      <c r="P37" s="145">
        <v>118650012</v>
      </c>
    </row>
    <row r="38" spans="1:16" x14ac:dyDescent="0.3">
      <c r="B38" s="132" t="s">
        <v>85</v>
      </c>
      <c r="C38" s="133"/>
      <c r="D38" s="134"/>
      <c r="E38" s="135"/>
      <c r="F38" s="136">
        <f>F37*0.3</f>
        <v>37012419.535978667</v>
      </c>
      <c r="G38">
        <v>20</v>
      </c>
      <c r="H38" s="144">
        <f>+$H$37*G38/100</f>
        <v>11033960</v>
      </c>
      <c r="I38">
        <v>20</v>
      </c>
      <c r="J38" s="144">
        <f>+$H$37*I38/100</f>
        <v>11033960</v>
      </c>
      <c r="K38">
        <v>20</v>
      </c>
      <c r="L38" s="144">
        <f>+L$37*K38/100</f>
        <v>25325786.199999999</v>
      </c>
      <c r="M38">
        <v>24</v>
      </c>
      <c r="N38" s="144">
        <f>+N$37*M38/100</f>
        <v>28980575.760000002</v>
      </c>
      <c r="O38">
        <v>22</v>
      </c>
      <c r="P38" s="144">
        <f>+$P$37*O38/100</f>
        <v>26103002.640000001</v>
      </c>
    </row>
    <row r="39" spans="1:16" x14ac:dyDescent="0.3">
      <c r="B39" s="132" t="s">
        <v>86</v>
      </c>
      <c r="C39" s="133"/>
      <c r="D39" s="134"/>
      <c r="E39" s="135"/>
      <c r="F39" s="136"/>
      <c r="G39">
        <v>6</v>
      </c>
      <c r="H39" s="144">
        <f>+$H$37*G39/100</f>
        <v>3310188</v>
      </c>
      <c r="I39">
        <v>5</v>
      </c>
      <c r="J39" s="144">
        <f>+$H$37*I39/100</f>
        <v>2758490</v>
      </c>
      <c r="K39">
        <v>5</v>
      </c>
      <c r="L39" s="144">
        <f t="shared" ref="L39" si="10">+$L$37*K39/100</f>
        <v>6331446.5499999998</v>
      </c>
      <c r="M39">
        <v>1</v>
      </c>
      <c r="N39" s="144">
        <f>+$N$37*M39/100</f>
        <v>1207523.99</v>
      </c>
      <c r="O39">
        <v>5</v>
      </c>
      <c r="P39" s="144">
        <f>+$P$37*O39/100</f>
        <v>5932500.5999999996</v>
      </c>
    </row>
    <row r="40" spans="1:16" ht="15" thickBot="1" x14ac:dyDescent="0.35">
      <c r="B40" s="137" t="s">
        <v>87</v>
      </c>
      <c r="C40" s="138"/>
      <c r="D40" s="139"/>
      <c r="E40" s="140"/>
      <c r="F40" s="141">
        <f>ROUND(SUM(F37:F39),0)</f>
        <v>160387151</v>
      </c>
      <c r="G40">
        <v>4</v>
      </c>
      <c r="H40" s="144">
        <f>+$H$37*G40/100</f>
        <v>2206792</v>
      </c>
      <c r="I40">
        <v>5</v>
      </c>
      <c r="J40" s="144">
        <f>+$H$37*I40/100</f>
        <v>2758490</v>
      </c>
      <c r="K40">
        <v>5</v>
      </c>
      <c r="L40" s="144">
        <f>+$L$37*K40/100</f>
        <v>6331446.5499999998</v>
      </c>
      <c r="M40">
        <v>5</v>
      </c>
      <c r="N40" s="144">
        <f>+$N$37*M40/100</f>
        <v>6037619.9500000002</v>
      </c>
      <c r="O40">
        <v>5</v>
      </c>
      <c r="P40" s="144">
        <f>+$P$37*O40/100</f>
        <v>5932500.5999999996</v>
      </c>
    </row>
    <row r="41" spans="1:16" x14ac:dyDescent="0.3">
      <c r="G41">
        <v>16</v>
      </c>
      <c r="H41" s="145">
        <f>H40*0.16</f>
        <v>353086.72000000003</v>
      </c>
      <c r="I41">
        <v>16</v>
      </c>
      <c r="J41" s="145">
        <f>J40*0.16</f>
        <v>441358.4</v>
      </c>
      <c r="K41">
        <v>16</v>
      </c>
      <c r="L41" s="145">
        <f>L40*0.16</f>
        <v>1013031.448</v>
      </c>
      <c r="M41">
        <v>16</v>
      </c>
      <c r="N41" s="145">
        <f>N40*0.16</f>
        <v>966019.19200000004</v>
      </c>
      <c r="O41">
        <v>16</v>
      </c>
      <c r="P41" s="145">
        <f>P40*0.16</f>
        <v>949200.0959999999</v>
      </c>
    </row>
    <row r="42" spans="1:16" x14ac:dyDescent="0.3">
      <c r="H42" s="145">
        <f>SUM(H37:H41)</f>
        <v>72073826.719999999</v>
      </c>
      <c r="J42" s="145">
        <f>SUM(J37:J41)</f>
        <v>72836830.400000006</v>
      </c>
      <c r="L42" s="145">
        <f>SUM(L37:L41)</f>
        <v>165630641.74800003</v>
      </c>
      <c r="N42" s="145">
        <f>SUM(N37:N41)</f>
        <v>157944137.89199999</v>
      </c>
      <c r="P42" s="145">
        <f>SUM(P37:P41)</f>
        <v>157567215.93599996</v>
      </c>
    </row>
    <row r="43" spans="1:16" x14ac:dyDescent="0.3">
      <c r="L43" s="144"/>
    </row>
    <row r="44" spans="1:16" x14ac:dyDescent="0.3">
      <c r="F44" s="73" t="s">
        <v>89</v>
      </c>
      <c r="H44" s="145">
        <f>H42-H41</f>
        <v>71720740</v>
      </c>
      <c r="J44" s="145">
        <f>J42-J41</f>
        <v>72395472</v>
      </c>
      <c r="L44" s="145">
        <f>L42-L41</f>
        <v>164617610.30000001</v>
      </c>
      <c r="N44" s="145">
        <f>N42-N41</f>
        <v>156978118.69999999</v>
      </c>
      <c r="P44" s="145">
        <f>P42-P41</f>
        <v>156618015.83999997</v>
      </c>
    </row>
    <row r="45" spans="1:16" x14ac:dyDescent="0.3">
      <c r="L45" s="14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Experiencia</vt:lpstr>
      <vt:lpstr>TECNICA</vt:lpstr>
      <vt:lpstr>EXPER CONSTRUCTOR</vt:lpstr>
      <vt:lpstr>Hoja1</vt:lpstr>
      <vt:lpstr>PUNTAJE PRECIO</vt:lpstr>
      <vt:lpstr>PRECIO CORREGIDO</vt:lpstr>
      <vt:lpstr>TABLA SMMLV</vt:lpstr>
      <vt:lpstr>ARIT,ETICA</vt:lpstr>
      <vt:lpstr>'EXPER CONSTRUCTOR'!Área_de_impresión</vt:lpstr>
      <vt:lpstr>Experiencia!Área_de_impresión</vt:lpstr>
      <vt:lpstr>'PUNTAJE PRECIO'!Área_de_impresión</vt:lpstr>
      <vt:lpstr>TECNICA!Área_de_impresión</vt:lpstr>
      <vt:lpstr>'EXPER CONSTRUCTOR'!Títulos_a_imprimir</vt:lpstr>
      <vt:lpstr>Experiencia!Títulos_a_imprimir</vt:lpstr>
    </vt:vector>
  </TitlesOfParts>
  <Company>Intel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Intel</dc:creator>
  <cp:lastModifiedBy>Carlos Bucheli</cp:lastModifiedBy>
  <cp:lastPrinted>2016-12-12T22:56:19Z</cp:lastPrinted>
  <dcterms:created xsi:type="dcterms:W3CDTF">2010-02-25T14:06:31Z</dcterms:created>
  <dcterms:modified xsi:type="dcterms:W3CDTF">2019-08-30T03:21:28Z</dcterms:modified>
</cp:coreProperties>
</file>